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5" windowWidth="11610" windowHeight="8640" activeTab="2"/>
  </bookViews>
  <sheets>
    <sheet name="Info" sheetId="15" r:id="rId1"/>
    <sheet name="Dager" sheetId="17" r:id="rId2"/>
    <sheet name="Jan" sheetId="4" r:id="rId3"/>
    <sheet name="Feb" sheetId="1" r:id="rId4"/>
    <sheet name="Mar" sheetId="2" r:id="rId5"/>
    <sheet name="Apr" sheetId="3" r:id="rId6"/>
    <sheet name="Mai" sheetId="5" r:id="rId7"/>
    <sheet name="Juni" sheetId="6" r:id="rId8"/>
    <sheet name="Juli" sheetId="7" r:id="rId9"/>
    <sheet name="Aug" sheetId="8" r:id="rId10"/>
    <sheet name="Sep" sheetId="9" r:id="rId11"/>
    <sheet name="Okt" sheetId="10" r:id="rId12"/>
    <sheet name="Nov" sheetId="13" r:id="rId13"/>
    <sheet name="Des" sheetId="14" r:id="rId14"/>
    <sheet name="Kalender" sheetId="18" r:id="rId15"/>
    <sheet name="Regler" sheetId="16" r:id="rId16"/>
  </sheets>
  <externalReferences>
    <externalReference r:id="rId17"/>
  </externalReferences>
  <definedNames>
    <definedName name="_xlnm._FilterDatabase" localSheetId="1" hidden="1">Dager!$S$1:$Z$50</definedName>
    <definedName name="_xlnm.Criteria" localSheetId="1">Dager!$Z$1</definedName>
    <definedName name="MonFirst">Info!$G$19</definedName>
    <definedName name="monthName">Info!$G$12</definedName>
    <definedName name="nextMonth">Info!$G$17</definedName>
    <definedName name="nextMonthName">Info!$G$18</definedName>
    <definedName name="prevMonth">Info!$G$15</definedName>
    <definedName name="prevMonthName">Info!$G$16</definedName>
    <definedName name="_xlnm.Print_Area" localSheetId="5">Apr!$A$1:$J$55</definedName>
    <definedName name="_xlnm.Print_Area" localSheetId="9">Aug!$A$1:$J$56</definedName>
    <definedName name="_xlnm.Print_Area" localSheetId="1">Dager!$A$1:$H$50</definedName>
    <definedName name="_xlnm.Print_Area" localSheetId="13">Des!$A$1:$J$56</definedName>
    <definedName name="_xlnm.Print_Area" localSheetId="3">Feb!$A$1:$J$54</definedName>
    <definedName name="_xlnm.Print_Area" localSheetId="2">Jan!$A$1:$J$56</definedName>
    <definedName name="_xlnm.Print_Area" localSheetId="8">Juli!$A$1:$J$56</definedName>
    <definedName name="_xlnm.Print_Area" localSheetId="7">Juni!$A$1:$J$55</definedName>
    <definedName name="_xlnm.Print_Area" localSheetId="14">Kalender!$A$1:$H$55</definedName>
    <definedName name="_xlnm.Print_Area" localSheetId="6">Mai!$A$1:$J$56</definedName>
    <definedName name="_xlnm.Print_Area" localSheetId="4">Mar!$A$1:$J$56</definedName>
    <definedName name="_xlnm.Print_Area" localSheetId="12">Nov!$A$1:$J$55</definedName>
    <definedName name="_xlnm.Print_Area" localSheetId="11">Okt!$A$1:$J$56</definedName>
    <definedName name="_xlnm.Print_Area" localSheetId="10">Sep!$A$1:$J$55</definedName>
    <definedName name="_xlnm.Extract" localSheetId="1">Dager!$T$1:$T$1</definedName>
    <definedName name="year">[1]Calendar!$F$3</definedName>
  </definedNames>
  <calcPr calcId="145621"/>
</workbook>
</file>

<file path=xl/calcChain.xml><?xml version="1.0" encoding="utf-8"?>
<calcChain xmlns="http://schemas.openxmlformats.org/spreadsheetml/2006/main">
  <c r="G9" i="4" l="1"/>
  <c r="G13" i="4" l="1"/>
  <c r="G14" i="4"/>
  <c r="G15" i="4"/>
  <c r="G16" i="4"/>
  <c r="C3" i="17" l="1"/>
  <c r="C19" i="17" s="1"/>
  <c r="G21" i="17"/>
  <c r="G24" i="17"/>
  <c r="G27" i="17"/>
  <c r="G30" i="17"/>
  <c r="G33" i="17"/>
  <c r="G36" i="17"/>
  <c r="G39" i="17"/>
  <c r="G42" i="17"/>
  <c r="G45" i="17"/>
  <c r="G48" i="17"/>
  <c r="N37" i="13"/>
  <c r="AA7" i="15"/>
  <c r="AA8" i="15" s="1"/>
  <c r="D3" i="17"/>
  <c r="D18" i="17" s="1"/>
  <c r="C23" i="17"/>
  <c r="H21" i="17"/>
  <c r="B7" i="1"/>
  <c r="A7" i="1" s="1"/>
  <c r="B8" i="1"/>
  <c r="A8" i="1" s="1"/>
  <c r="B9" i="1"/>
  <c r="B10" i="1" s="1"/>
  <c r="B11" i="1" s="1"/>
  <c r="A11" i="1" s="1"/>
  <c r="N38" i="14"/>
  <c r="B7" i="14"/>
  <c r="G7" i="14" s="1"/>
  <c r="K38" i="14"/>
  <c r="K39" i="14"/>
  <c r="L38" i="14"/>
  <c r="K37" i="13"/>
  <c r="B7" i="13"/>
  <c r="B8" i="13" s="1"/>
  <c r="K38" i="13"/>
  <c r="L37" i="13"/>
  <c r="N38" i="10"/>
  <c r="N37" i="9"/>
  <c r="N38" i="8"/>
  <c r="N38" i="7"/>
  <c r="B7" i="10"/>
  <c r="B8" i="10" s="1"/>
  <c r="K38" i="10"/>
  <c r="K39" i="10" s="1"/>
  <c r="L38" i="10"/>
  <c r="B7" i="9"/>
  <c r="B8" i="9" s="1"/>
  <c r="K37" i="9"/>
  <c r="K38" i="9"/>
  <c r="L37" i="9"/>
  <c r="M217" i="15"/>
  <c r="L220" i="15"/>
  <c r="M220" i="15" s="1"/>
  <c r="M221" i="15" s="1"/>
  <c r="M222" i="15" s="1"/>
  <c r="L219" i="15"/>
  <c r="P219" i="15" s="1"/>
  <c r="N219" i="15"/>
  <c r="O219" i="15"/>
  <c r="B7" i="8"/>
  <c r="A7" i="8" s="1"/>
  <c r="K38" i="8"/>
  <c r="K39" i="8" s="1"/>
  <c r="L38" i="8"/>
  <c r="B7" i="7"/>
  <c r="B42" i="7" s="1"/>
  <c r="K38" i="7"/>
  <c r="K39" i="7"/>
  <c r="L38" i="7"/>
  <c r="N37" i="6"/>
  <c r="B7" i="6"/>
  <c r="B8" i="6" s="1"/>
  <c r="B9" i="6" s="1"/>
  <c r="K37" i="6"/>
  <c r="K38" i="6" s="1"/>
  <c r="L37" i="6"/>
  <c r="N38" i="5"/>
  <c r="B7" i="5"/>
  <c r="B42" i="5" s="1"/>
  <c r="K38" i="5"/>
  <c r="K39" i="5"/>
  <c r="N37" i="3"/>
  <c r="B7" i="3"/>
  <c r="B41" i="3" s="1"/>
  <c r="K37" i="3"/>
  <c r="K38" i="3"/>
  <c r="C7" i="17"/>
  <c r="AO12" i="15" s="1"/>
  <c r="N38" i="2"/>
  <c r="B7" i="2"/>
  <c r="B8" i="2" s="1"/>
  <c r="B9" i="2" s="1"/>
  <c r="G9" i="2" s="1"/>
  <c r="K38" i="2"/>
  <c r="K39" i="2"/>
  <c r="B7" i="4"/>
  <c r="N39" i="4" s="1"/>
  <c r="N38" i="4"/>
  <c r="N36" i="1"/>
  <c r="K36" i="1"/>
  <c r="K37" i="1"/>
  <c r="K38" i="4"/>
  <c r="K39" i="4" s="1"/>
  <c r="L38" i="5"/>
  <c r="L37" i="3"/>
  <c r="L38" i="2"/>
  <c r="L36" i="1"/>
  <c r="G7" i="4"/>
  <c r="B8" i="4"/>
  <c r="A8" i="4" s="1"/>
  <c r="D10" i="15"/>
  <c r="L38" i="4"/>
  <c r="E54" i="2"/>
  <c r="E51" i="3"/>
  <c r="E52" i="3"/>
  <c r="E53" i="3"/>
  <c r="E52" i="5"/>
  <c r="E53" i="5"/>
  <c r="E54" i="5"/>
  <c r="E51" i="6"/>
  <c r="E52" i="6"/>
  <c r="E53" i="6"/>
  <c r="E52" i="7"/>
  <c r="E53" i="7"/>
  <c r="E54" i="7"/>
  <c r="E52" i="8"/>
  <c r="E53" i="8"/>
  <c r="E54" i="8"/>
  <c r="E49" i="4"/>
  <c r="E50" i="4" s="1"/>
  <c r="E48" i="1" s="1"/>
  <c r="E50" i="2" s="1"/>
  <c r="E49" i="3" s="1"/>
  <c r="E50" i="5" s="1"/>
  <c r="E49" i="6" s="1"/>
  <c r="E50" i="7" s="1"/>
  <c r="E50" i="8" s="1"/>
  <c r="E49" i="9" s="1"/>
  <c r="E50" i="10" s="1"/>
  <c r="E49" i="13" s="1"/>
  <c r="E50" i="14" s="1"/>
  <c r="J22" i="15" s="1"/>
  <c r="K22" i="15" s="1"/>
  <c r="E47" i="1"/>
  <c r="E49" i="2"/>
  <c r="E48" i="3"/>
  <c r="E49" i="5"/>
  <c r="E48" i="6"/>
  <c r="E49" i="7"/>
  <c r="E49" i="8"/>
  <c r="E42" i="4"/>
  <c r="G7" i="2"/>
  <c r="AA41" i="15"/>
  <c r="AA42" i="15"/>
  <c r="AA43" i="15"/>
  <c r="AA44" i="15"/>
  <c r="AA45" i="15" s="1"/>
  <c r="AA46" i="15" s="1"/>
  <c r="AA47" i="15"/>
  <c r="AA48" i="15" s="1"/>
  <c r="AI48" i="15" s="1"/>
  <c r="C47" i="15"/>
  <c r="G48" i="15"/>
  <c r="F48" i="15"/>
  <c r="G49" i="15"/>
  <c r="F49" i="15"/>
  <c r="D12" i="15"/>
  <c r="C12" i="15" s="1"/>
  <c r="G7" i="5"/>
  <c r="D11" i="15"/>
  <c r="C11" i="15" s="1"/>
  <c r="G23" i="5"/>
  <c r="L138" i="15"/>
  <c r="N138" i="15" s="1"/>
  <c r="L174" i="15"/>
  <c r="L183" i="15"/>
  <c r="N183" i="15" s="1"/>
  <c r="L192" i="15"/>
  <c r="P192" i="15" s="1"/>
  <c r="N192" i="15"/>
  <c r="O192" i="15"/>
  <c r="N206" i="15"/>
  <c r="L201" i="15"/>
  <c r="M201" i="15" s="1"/>
  <c r="M202" i="15" s="1"/>
  <c r="M203" i="15" s="1"/>
  <c r="M204" i="15" s="1"/>
  <c r="L210" i="15"/>
  <c r="P210" i="15" s="1"/>
  <c r="Q210" i="15" s="1"/>
  <c r="R210" i="15" s="1"/>
  <c r="S210" i="15" s="1"/>
  <c r="O210" i="15"/>
  <c r="L165" i="15"/>
  <c r="M165" i="15" s="1"/>
  <c r="M166" i="15" s="1"/>
  <c r="M167" i="15" s="1"/>
  <c r="M168" i="15" s="1"/>
  <c r="M169" i="15" s="1"/>
  <c r="N165" i="15"/>
  <c r="O165" i="15"/>
  <c r="P165" i="15"/>
  <c r="Q165" i="15" s="1"/>
  <c r="R165" i="15" s="1"/>
  <c r="S165" i="15"/>
  <c r="T165" i="15" s="1"/>
  <c r="N166" i="15" s="1"/>
  <c r="O166" i="15" s="1"/>
  <c r="P166" i="15" s="1"/>
  <c r="Q166" i="15" s="1"/>
  <c r="R166" i="15" s="1"/>
  <c r="S166" i="15" s="1"/>
  <c r="T166" i="15" s="1"/>
  <c r="N167" i="15" s="1"/>
  <c r="O167" i="15" s="1"/>
  <c r="P167" i="15" s="1"/>
  <c r="Q167" i="15" s="1"/>
  <c r="R167" i="15" s="1"/>
  <c r="S167" i="15" s="1"/>
  <c r="T167" i="15" s="1"/>
  <c r="N168" i="15" s="1"/>
  <c r="O168" i="15" s="1"/>
  <c r="P168" i="15" s="1"/>
  <c r="Q168" i="15" s="1"/>
  <c r="R168" i="15" s="1"/>
  <c r="S168" i="15" s="1"/>
  <c r="T168" i="15" s="1"/>
  <c r="N169" i="15" s="1"/>
  <c r="O169" i="15" s="1"/>
  <c r="P169" i="15" s="1"/>
  <c r="Q169" i="15" s="1"/>
  <c r="R169" i="15" s="1"/>
  <c r="S169" i="15" s="1"/>
  <c r="T169" i="15" s="1"/>
  <c r="N170" i="15" s="1"/>
  <c r="L111" i="15"/>
  <c r="L120" i="15"/>
  <c r="M120" i="15" s="1"/>
  <c r="M121" i="15" s="1"/>
  <c r="M122" i="15" s="1"/>
  <c r="M123" i="15" s="1"/>
  <c r="N120" i="15"/>
  <c r="O120" i="15"/>
  <c r="P120" i="15"/>
  <c r="Q120" i="15"/>
  <c r="R120" i="15"/>
  <c r="S120" i="15"/>
  <c r="T120" i="15" s="1"/>
  <c r="N121" i="15" s="1"/>
  <c r="O121" i="15" s="1"/>
  <c r="P121" i="15" s="1"/>
  <c r="Q121" i="15" s="1"/>
  <c r="R121" i="15" s="1"/>
  <c r="S121" i="15" s="1"/>
  <c r="T121" i="15" s="1"/>
  <c r="N122" i="15" s="1"/>
  <c r="O122" i="15" s="1"/>
  <c r="P122" i="15" s="1"/>
  <c r="Q122" i="15" s="1"/>
  <c r="R122" i="15" s="1"/>
  <c r="S122" i="15" s="1"/>
  <c r="T122" i="15" s="1"/>
  <c r="N123" i="15" s="1"/>
  <c r="O123" i="15" s="1"/>
  <c r="P123" i="15" s="1"/>
  <c r="Q123" i="15" s="1"/>
  <c r="R123" i="15" s="1"/>
  <c r="S123" i="15" s="1"/>
  <c r="T123" i="15" s="1"/>
  <c r="N124" i="15" s="1"/>
  <c r="L129" i="15"/>
  <c r="M129" i="15" s="1"/>
  <c r="M130" i="15" s="1"/>
  <c r="M131" i="15" s="1"/>
  <c r="M132" i="15" s="1"/>
  <c r="N129" i="15"/>
  <c r="O129" i="15"/>
  <c r="P129" i="15"/>
  <c r="Q129" i="15"/>
  <c r="R129" i="15"/>
  <c r="L147" i="15"/>
  <c r="P147" i="15" s="1"/>
  <c r="N147" i="15"/>
  <c r="O147" i="15"/>
  <c r="Q147" i="15"/>
  <c r="R147" i="15"/>
  <c r="S147" i="15" s="1"/>
  <c r="L156" i="15"/>
  <c r="N156" i="15"/>
  <c r="O156" i="15"/>
  <c r="N174" i="15"/>
  <c r="L93" i="15"/>
  <c r="R93" i="15" s="1"/>
  <c r="N93" i="15"/>
  <c r="O93" i="15"/>
  <c r="P93" i="15"/>
  <c r="D13" i="15"/>
  <c r="G31" i="14"/>
  <c r="G32" i="14"/>
  <c r="H34" i="1"/>
  <c r="H7" i="1"/>
  <c r="H9" i="4"/>
  <c r="H7" i="4"/>
  <c r="H8" i="4"/>
  <c r="E11" i="15"/>
  <c r="E10" i="15"/>
  <c r="F11" i="15"/>
  <c r="F10" i="15"/>
  <c r="C13" i="15"/>
  <c r="C10" i="15"/>
  <c r="H39" i="17"/>
  <c r="B19" i="17"/>
  <c r="H18" i="17" s="1"/>
  <c r="H33" i="17"/>
  <c r="H48" i="17"/>
  <c r="H36" i="17"/>
  <c r="H45" i="17"/>
  <c r="H24" i="17"/>
  <c r="H42" i="17"/>
  <c r="C13" i="17"/>
  <c r="D51" i="18" s="1"/>
  <c r="B51" i="18"/>
  <c r="H30" i="17"/>
  <c r="E49" i="18"/>
  <c r="E48" i="18"/>
  <c r="B48" i="18"/>
  <c r="H27" i="17"/>
  <c r="C11" i="17"/>
  <c r="D47" i="18" s="1"/>
  <c r="D46" i="18"/>
  <c r="B46" i="18"/>
  <c r="C10" i="17"/>
  <c r="D45" i="18" s="1"/>
  <c r="C4" i="17"/>
  <c r="A45" i="18"/>
  <c r="A2" i="18"/>
  <c r="E46" i="4"/>
  <c r="E45" i="4"/>
  <c r="E43" i="1"/>
  <c r="E45" i="2"/>
  <c r="E44" i="3"/>
  <c r="E45" i="5"/>
  <c r="E44" i="6"/>
  <c r="E45" i="7"/>
  <c r="H35" i="4"/>
  <c r="L102" i="15"/>
  <c r="N102" i="15" s="1"/>
  <c r="L103" i="15"/>
  <c r="M103" i="15"/>
  <c r="M104" i="15" s="1"/>
  <c r="M105" i="15" s="1"/>
  <c r="L211" i="15"/>
  <c r="M211" i="15" s="1"/>
  <c r="M212" i="15" s="1"/>
  <c r="M213" i="15" s="1"/>
  <c r="M192" i="15"/>
  <c r="M193" i="15"/>
  <c r="M194" i="15" s="1"/>
  <c r="M195" i="15" s="1"/>
  <c r="M183" i="15"/>
  <c r="M184" i="15" s="1"/>
  <c r="M185" i="15" s="1"/>
  <c r="M186" i="15" s="1"/>
  <c r="M174" i="15"/>
  <c r="M175" i="15"/>
  <c r="M176" i="15" s="1"/>
  <c r="M177" i="15" s="1"/>
  <c r="M156" i="15"/>
  <c r="M157" i="15" s="1"/>
  <c r="M158" i="15" s="1"/>
  <c r="M159" i="15" s="1"/>
  <c r="C14" i="17"/>
  <c r="M111" i="15"/>
  <c r="M112" i="15" s="1"/>
  <c r="M113" i="15" s="1"/>
  <c r="M114" i="15" s="1"/>
  <c r="M102" i="15"/>
  <c r="A7" i="4"/>
  <c r="M208" i="15"/>
  <c r="M199" i="15"/>
  <c r="M190" i="15"/>
  <c r="M181" i="15"/>
  <c r="M172" i="15"/>
  <c r="M163" i="15"/>
  <c r="M154" i="15"/>
  <c r="M91" i="15"/>
  <c r="M145" i="15"/>
  <c r="M136" i="15"/>
  <c r="Q152" i="15"/>
  <c r="R152" i="15"/>
  <c r="S152" i="15" s="1"/>
  <c r="T152" i="15" s="1"/>
  <c r="M127" i="15"/>
  <c r="M118" i="15"/>
  <c r="M109" i="15"/>
  <c r="M100" i="15"/>
  <c r="B41" i="5"/>
  <c r="B49" i="5"/>
  <c r="B45" i="5"/>
  <c r="B1" i="15"/>
  <c r="F4" i="15"/>
  <c r="F2" i="14"/>
  <c r="F2" i="13"/>
  <c r="F2" i="10"/>
  <c r="F2" i="9"/>
  <c r="F2" i="8"/>
  <c r="F2" i="7"/>
  <c r="F2" i="6"/>
  <c r="F2" i="5"/>
  <c r="F2" i="3"/>
  <c r="F2" i="2"/>
  <c r="F2" i="1"/>
  <c r="F2" i="4"/>
  <c r="H48" i="3"/>
  <c r="J7" i="15"/>
  <c r="H49" i="5"/>
  <c r="J8" i="15"/>
  <c r="H33" i="3"/>
  <c r="H34" i="3"/>
  <c r="H35" i="3"/>
  <c r="H36" i="3"/>
  <c r="H12" i="3"/>
  <c r="H13" i="3"/>
  <c r="H14" i="3"/>
  <c r="H15" i="3"/>
  <c r="H18" i="3"/>
  <c r="H19" i="3"/>
  <c r="H20" i="3"/>
  <c r="H21" i="3"/>
  <c r="H26" i="3"/>
  <c r="H27" i="3"/>
  <c r="H28" i="3"/>
  <c r="H29" i="3"/>
  <c r="H32" i="3"/>
  <c r="H7" i="2"/>
  <c r="H8" i="2"/>
  <c r="H9" i="2"/>
  <c r="H10" i="2"/>
  <c r="H11" i="2"/>
  <c r="H14" i="2"/>
  <c r="H15" i="2"/>
  <c r="H16" i="2"/>
  <c r="H17" i="2"/>
  <c r="H18" i="2"/>
  <c r="H21" i="2"/>
  <c r="H22" i="2"/>
  <c r="H23" i="2"/>
  <c r="H24" i="2"/>
  <c r="H25" i="2"/>
  <c r="H28" i="2"/>
  <c r="H29" i="2"/>
  <c r="H30" i="2"/>
  <c r="H31" i="2"/>
  <c r="H32" i="2"/>
  <c r="H8" i="1"/>
  <c r="H9" i="1"/>
  <c r="H10" i="1"/>
  <c r="H11" i="1"/>
  <c r="H14" i="1"/>
  <c r="H15" i="1"/>
  <c r="H16" i="1"/>
  <c r="H17" i="1"/>
  <c r="H18" i="1"/>
  <c r="H21" i="1"/>
  <c r="H22" i="1"/>
  <c r="H23" i="1"/>
  <c r="H24" i="1"/>
  <c r="H25" i="1"/>
  <c r="H28" i="1"/>
  <c r="H29" i="1"/>
  <c r="H30" i="1"/>
  <c r="H31" i="1"/>
  <c r="H10" i="4"/>
  <c r="H11" i="4"/>
  <c r="H12" i="4"/>
  <c r="G12" i="4" s="1"/>
  <c r="H13" i="4"/>
  <c r="H14" i="4"/>
  <c r="H17" i="4"/>
  <c r="H18" i="4"/>
  <c r="H19" i="4"/>
  <c r="H20" i="4"/>
  <c r="H21" i="4"/>
  <c r="H24" i="4"/>
  <c r="H25" i="4"/>
  <c r="H26" i="4"/>
  <c r="H27" i="4"/>
  <c r="H28" i="4"/>
  <c r="H31" i="4"/>
  <c r="H32" i="4"/>
  <c r="H33" i="4"/>
  <c r="H34" i="4"/>
  <c r="H9" i="5"/>
  <c r="H7" i="5"/>
  <c r="H10" i="5"/>
  <c r="H11" i="5"/>
  <c r="H12" i="5"/>
  <c r="H13" i="5"/>
  <c r="H16" i="5"/>
  <c r="H17" i="5"/>
  <c r="H18" i="5"/>
  <c r="H24" i="5"/>
  <c r="H25" i="5"/>
  <c r="H26" i="5"/>
  <c r="E52" i="14"/>
  <c r="E53" i="14"/>
  <c r="E54" i="14"/>
  <c r="J1" i="14"/>
  <c r="B50" i="14" s="1"/>
  <c r="B55" i="14"/>
  <c r="B54" i="14"/>
  <c r="B53" i="14"/>
  <c r="B52" i="14"/>
  <c r="E49" i="14"/>
  <c r="F49" i="14" s="1"/>
  <c r="B49" i="14"/>
  <c r="E45" i="14"/>
  <c r="B45" i="14"/>
  <c r="B41" i="14"/>
  <c r="E51" i="13"/>
  <c r="E52" i="13"/>
  <c r="E53" i="13"/>
  <c r="J1" i="13"/>
  <c r="B54" i="13" s="1"/>
  <c r="B53" i="13"/>
  <c r="B52" i="13"/>
  <c r="B51" i="13"/>
  <c r="E48" i="13"/>
  <c r="F48" i="13"/>
  <c r="H48" i="13"/>
  <c r="J14" i="15" s="1"/>
  <c r="B48" i="13"/>
  <c r="E44" i="13"/>
  <c r="B44" i="13"/>
  <c r="B40" i="13"/>
  <c r="E52" i="10"/>
  <c r="E53" i="10"/>
  <c r="E54" i="10"/>
  <c r="J1" i="10"/>
  <c r="B55" i="10" s="1"/>
  <c r="B54" i="10"/>
  <c r="B53" i="10"/>
  <c r="B52" i="10"/>
  <c r="E49" i="10"/>
  <c r="B50" i="10"/>
  <c r="H49" i="10"/>
  <c r="J13" i="15"/>
  <c r="F49" i="10"/>
  <c r="B49" i="10"/>
  <c r="E45" i="10"/>
  <c r="B45" i="10"/>
  <c r="B42" i="10"/>
  <c r="B41" i="10"/>
  <c r="E51" i="9"/>
  <c r="E52" i="9"/>
  <c r="E53" i="9"/>
  <c r="J1" i="9"/>
  <c r="B54" i="9" s="1"/>
  <c r="B53" i="9"/>
  <c r="B52" i="9"/>
  <c r="B51" i="9"/>
  <c r="E48" i="9"/>
  <c r="H48" i="9"/>
  <c r="J12" i="15" s="1"/>
  <c r="F48" i="9"/>
  <c r="B48" i="9"/>
  <c r="E44" i="9"/>
  <c r="B44" i="9"/>
  <c r="B40" i="9"/>
  <c r="J1" i="8"/>
  <c r="B55" i="8" s="1"/>
  <c r="B54" i="8"/>
  <c r="B53" i="8"/>
  <c r="B52" i="8"/>
  <c r="H49" i="8"/>
  <c r="J11" i="15" s="1"/>
  <c r="F49" i="8"/>
  <c r="B49" i="8"/>
  <c r="E45" i="8"/>
  <c r="B45" i="8"/>
  <c r="B42" i="8"/>
  <c r="B41" i="8"/>
  <c r="J1" i="7"/>
  <c r="B55" i="7" s="1"/>
  <c r="B54" i="7"/>
  <c r="B53" i="7"/>
  <c r="B52" i="7"/>
  <c r="H49" i="7"/>
  <c r="J10" i="15" s="1"/>
  <c r="F49" i="7"/>
  <c r="B49" i="7"/>
  <c r="B45" i="7"/>
  <c r="B41" i="7"/>
  <c r="J1" i="6"/>
  <c r="B49" i="6" s="1"/>
  <c r="B54" i="6"/>
  <c r="B53" i="6"/>
  <c r="B52" i="6"/>
  <c r="B51" i="6"/>
  <c r="F48" i="6"/>
  <c r="B48" i="6"/>
  <c r="B44" i="6"/>
  <c r="B40" i="6"/>
  <c r="E52" i="2"/>
  <c r="E53" i="2"/>
  <c r="J1" i="2"/>
  <c r="B55" i="2" s="1"/>
  <c r="B54" i="2"/>
  <c r="B53" i="2"/>
  <c r="B52" i="2"/>
  <c r="H49" i="2"/>
  <c r="J6" i="15"/>
  <c r="F49" i="2"/>
  <c r="B49" i="2"/>
  <c r="B45" i="2"/>
  <c r="B42" i="2"/>
  <c r="B41" i="2"/>
  <c r="E50" i="1"/>
  <c r="E51" i="1"/>
  <c r="E52" i="1"/>
  <c r="J1" i="1"/>
  <c r="B53" i="1"/>
  <c r="B52" i="1"/>
  <c r="B51" i="1"/>
  <c r="B50" i="1"/>
  <c r="H47" i="1"/>
  <c r="J5" i="15" s="1"/>
  <c r="F47" i="1"/>
  <c r="B47" i="1"/>
  <c r="B43" i="1"/>
  <c r="B39" i="1"/>
  <c r="J1" i="4"/>
  <c r="B55" i="4" s="1"/>
  <c r="B42" i="4"/>
  <c r="E52" i="4"/>
  <c r="E53" i="4"/>
  <c r="E54" i="4"/>
  <c r="E53" i="1" s="1"/>
  <c r="E55" i="2" s="1"/>
  <c r="B54" i="4"/>
  <c r="B53" i="4"/>
  <c r="B52" i="4"/>
  <c r="B49" i="4"/>
  <c r="B45" i="4"/>
  <c r="B41" i="4"/>
  <c r="J1" i="5"/>
  <c r="B55" i="5" s="1"/>
  <c r="B54" i="5"/>
  <c r="B53" i="5"/>
  <c r="B52" i="5"/>
  <c r="F49" i="5"/>
  <c r="F48" i="3"/>
  <c r="J1" i="3"/>
  <c r="B54" i="3"/>
  <c r="B53" i="3"/>
  <c r="B52" i="3"/>
  <c r="B51" i="3"/>
  <c r="B49" i="3"/>
  <c r="B48" i="3"/>
  <c r="B44" i="3"/>
  <c r="B40" i="3"/>
  <c r="H8" i="14"/>
  <c r="H9" i="14"/>
  <c r="H10" i="14"/>
  <c r="H11" i="14"/>
  <c r="H12" i="14"/>
  <c r="H13" i="14"/>
  <c r="H14" i="14"/>
  <c r="H15" i="14"/>
  <c r="H16" i="14"/>
  <c r="H17" i="14"/>
  <c r="H18" i="14"/>
  <c r="H19" i="14"/>
  <c r="H20" i="14"/>
  <c r="H21" i="14"/>
  <c r="H22" i="14"/>
  <c r="H23" i="14"/>
  <c r="H24" i="14"/>
  <c r="H25" i="14"/>
  <c r="H26" i="14"/>
  <c r="H27" i="14"/>
  <c r="H28" i="14"/>
  <c r="H29" i="14"/>
  <c r="H31" i="14"/>
  <c r="H32" i="14"/>
  <c r="H33" i="14"/>
  <c r="H34" i="14"/>
  <c r="H35" i="14"/>
  <c r="H36" i="14"/>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7" i="6"/>
  <c r="H8" i="5"/>
  <c r="H14" i="5"/>
  <c r="H15" i="5"/>
  <c r="H19" i="5"/>
  <c r="H20" i="5"/>
  <c r="H21" i="5"/>
  <c r="H22" i="5"/>
  <c r="H23" i="5"/>
  <c r="H27" i="5"/>
  <c r="H28" i="5"/>
  <c r="H29" i="5"/>
  <c r="H30" i="5"/>
  <c r="H31" i="5"/>
  <c r="H32" i="5"/>
  <c r="H33" i="5"/>
  <c r="H34" i="5"/>
  <c r="H35" i="5"/>
  <c r="H36" i="5"/>
  <c r="H37" i="5"/>
  <c r="H12" i="1"/>
  <c r="H13" i="1"/>
  <c r="H19" i="1"/>
  <c r="H20" i="1"/>
  <c r="H26" i="1"/>
  <c r="H27" i="1"/>
  <c r="H32" i="1"/>
  <c r="H15" i="4"/>
  <c r="H16" i="4"/>
  <c r="H22" i="4"/>
  <c r="H23" i="4"/>
  <c r="H29" i="4"/>
  <c r="H30" i="4"/>
  <c r="H36" i="4"/>
  <c r="H37" i="4"/>
  <c r="H26" i="2"/>
  <c r="H27" i="2"/>
  <c r="H33" i="2"/>
  <c r="H34" i="2"/>
  <c r="H35" i="2"/>
  <c r="H36" i="2"/>
  <c r="H37" i="2"/>
  <c r="H30" i="3"/>
  <c r="H31" i="3"/>
  <c r="H7" i="3"/>
  <c r="H8" i="3"/>
  <c r="H9" i="3"/>
  <c r="H10" i="3"/>
  <c r="H11" i="3"/>
  <c r="H16" i="3"/>
  <c r="H17" i="3"/>
  <c r="H22" i="3"/>
  <c r="H23" i="3"/>
  <c r="H24" i="3"/>
  <c r="H25" i="3"/>
  <c r="H7" i="14"/>
  <c r="H7" i="13"/>
  <c r="H7" i="10"/>
  <c r="H7" i="9"/>
  <c r="H7" i="8"/>
  <c r="H7" i="7"/>
  <c r="H12" i="2"/>
  <c r="H13" i="2"/>
  <c r="H19" i="2"/>
  <c r="H20" i="2"/>
  <c r="A7" i="13"/>
  <c r="A7" i="10"/>
  <c r="A7" i="9"/>
  <c r="F3" i="14"/>
  <c r="F4" i="14"/>
  <c r="F3" i="13"/>
  <c r="F4" i="13"/>
  <c r="F3" i="10"/>
  <c r="F4" i="10"/>
  <c r="F3" i="9"/>
  <c r="F4" i="9"/>
  <c r="F3" i="8"/>
  <c r="F4" i="8"/>
  <c r="F3" i="7"/>
  <c r="F4" i="7"/>
  <c r="F3" i="6"/>
  <c r="F4" i="6"/>
  <c r="F3" i="5"/>
  <c r="F4" i="5"/>
  <c r="F3" i="3"/>
  <c r="F4" i="3"/>
  <c r="F3" i="2"/>
  <c r="F4" i="2"/>
  <c r="F3" i="1"/>
  <c r="F4" i="1"/>
  <c r="F3" i="4"/>
  <c r="F4" i="4"/>
  <c r="G3" i="17"/>
  <c r="F4" i="17"/>
  <c r="F7" i="17"/>
  <c r="F5" i="17"/>
  <c r="F10" i="17"/>
  <c r="F11" i="17"/>
  <c r="C12" i="17"/>
  <c r="D12" i="17"/>
  <c r="F12" i="17"/>
  <c r="D13" i="17"/>
  <c r="F13" i="17"/>
  <c r="F14" i="17"/>
  <c r="C15" i="17"/>
  <c r="F15" i="17"/>
  <c r="C18" i="17"/>
  <c r="F18" i="17"/>
  <c r="F19" i="17"/>
  <c r="C21" i="17"/>
  <c r="D21" i="17"/>
  <c r="F21" i="17"/>
  <c r="C22" i="17"/>
  <c r="D22" i="17"/>
  <c r="F22" i="17"/>
  <c r="F23" i="17"/>
  <c r="C24" i="17"/>
  <c r="D24" i="17"/>
  <c r="F24" i="17"/>
  <c r="C25" i="17"/>
  <c r="D25" i="17"/>
  <c r="F25" i="17"/>
  <c r="C27" i="17"/>
  <c r="D27" i="17"/>
  <c r="F27" i="17"/>
  <c r="C28" i="17"/>
  <c r="D28" i="17"/>
  <c r="F28" i="17"/>
  <c r="C30" i="17"/>
  <c r="D30" i="17"/>
  <c r="F30" i="17"/>
  <c r="C31" i="17"/>
  <c r="D31" i="17"/>
  <c r="F31" i="17"/>
  <c r="C33" i="17"/>
  <c r="D33" i="17"/>
  <c r="F33" i="17"/>
  <c r="C34" i="17"/>
  <c r="D34" i="17"/>
  <c r="F34" i="17"/>
  <c r="C36" i="17"/>
  <c r="D36" i="17"/>
  <c r="F36" i="17"/>
  <c r="C37" i="17"/>
  <c r="D37" i="17"/>
  <c r="F37" i="17"/>
  <c r="C39" i="17"/>
  <c r="D39" i="17"/>
  <c r="F39" i="17"/>
  <c r="C40" i="17"/>
  <c r="D40" i="17"/>
  <c r="F40" i="17"/>
  <c r="C42" i="17"/>
  <c r="D42" i="17"/>
  <c r="F42" i="17"/>
  <c r="C43" i="17"/>
  <c r="D43" i="17"/>
  <c r="F43" i="17"/>
  <c r="C45" i="17"/>
  <c r="D45" i="17"/>
  <c r="F45" i="17"/>
  <c r="C46" i="17"/>
  <c r="D46" i="17"/>
  <c r="F46" i="17"/>
  <c r="C48" i="17"/>
  <c r="D48" i="17"/>
  <c r="F48" i="17"/>
  <c r="C49" i="17"/>
  <c r="D49" i="17"/>
  <c r="F49" i="17"/>
  <c r="J3" i="15"/>
  <c r="H4" i="15"/>
  <c r="AA6" i="15"/>
  <c r="J23" i="15"/>
  <c r="K23" i="15" s="1"/>
  <c r="AE37" i="15"/>
  <c r="AG37" i="15"/>
  <c r="AM67" i="15"/>
  <c r="AM68" i="15"/>
  <c r="AM69" i="15"/>
  <c r="AM70" i="15"/>
  <c r="F42" i="4"/>
  <c r="G42" i="4"/>
  <c r="F9" i="17"/>
  <c r="F8" i="17"/>
  <c r="F6" i="17"/>
  <c r="B48" i="1"/>
  <c r="A10" i="1"/>
  <c r="H48" i="6"/>
  <c r="J9" i="15"/>
  <c r="M206" i="15"/>
  <c r="O206" i="15"/>
  <c r="P206" i="15" s="1"/>
  <c r="B9" i="13" l="1"/>
  <c r="A9" i="13" s="1"/>
  <c r="G8" i="13"/>
  <c r="A8" i="13"/>
  <c r="G10" i="1"/>
  <c r="G8" i="1"/>
  <c r="B40" i="1"/>
  <c r="R192" i="15"/>
  <c r="S192" i="15" s="1"/>
  <c r="T192" i="15" s="1"/>
  <c r="N193" i="15" s="1"/>
  <c r="O193" i="15" s="1"/>
  <c r="P193" i="15" s="1"/>
  <c r="Q193" i="15" s="1"/>
  <c r="R193" i="15" s="1"/>
  <c r="S193" i="15" s="1"/>
  <c r="T193" i="15" s="1"/>
  <c r="N194" i="15" s="1"/>
  <c r="O194" i="15" s="1"/>
  <c r="P194" i="15" s="1"/>
  <c r="Q194" i="15" s="1"/>
  <c r="R194" i="15" s="1"/>
  <c r="S194" i="15" s="1"/>
  <c r="T194" i="15" s="1"/>
  <c r="N195" i="15" s="1"/>
  <c r="O195" i="15" s="1"/>
  <c r="P195" i="15" s="1"/>
  <c r="Q195" i="15" s="1"/>
  <c r="R195" i="15" s="1"/>
  <c r="S195" i="15" s="1"/>
  <c r="T195" i="15" s="1"/>
  <c r="N196" i="15" s="1"/>
  <c r="R219" i="15"/>
  <c r="S219" i="15" s="1"/>
  <c r="D23" i="17"/>
  <c r="A50" i="18"/>
  <c r="N39" i="14"/>
  <c r="B41" i="6"/>
  <c r="G9" i="1"/>
  <c r="S129" i="15"/>
  <c r="T129" i="15" s="1"/>
  <c r="N130" i="15" s="1"/>
  <c r="O130" i="15" s="1"/>
  <c r="P130" i="15" s="1"/>
  <c r="Q130" i="15" s="1"/>
  <c r="R130" i="15" s="1"/>
  <c r="S130" i="15" s="1"/>
  <c r="T130" i="15" s="1"/>
  <c r="N131" i="15" s="1"/>
  <c r="O131" i="15" s="1"/>
  <c r="P131" i="15" s="1"/>
  <c r="Q131" i="15" s="1"/>
  <c r="R131" i="15" s="1"/>
  <c r="S131" i="15" s="1"/>
  <c r="T131" i="15" s="1"/>
  <c r="N132" i="15" s="1"/>
  <c r="O132" i="15" s="1"/>
  <c r="P132" i="15" s="1"/>
  <c r="Q132" i="15" s="1"/>
  <c r="R132" i="15" s="1"/>
  <c r="S132" i="15" s="1"/>
  <c r="T132" i="15" s="1"/>
  <c r="N133" i="15" s="1"/>
  <c r="Q192" i="15"/>
  <c r="Q219" i="15"/>
  <c r="B41" i="13"/>
  <c r="D15" i="17"/>
  <c r="N38" i="13"/>
  <c r="C8" i="17"/>
  <c r="AO15" i="15" s="1"/>
  <c r="B8" i="8"/>
  <c r="D14" i="17"/>
  <c r="G7" i="13"/>
  <c r="B8" i="5"/>
  <c r="B9" i="5" s="1"/>
  <c r="B10" i="5" s="1"/>
  <c r="N39" i="8"/>
  <c r="F49" i="4"/>
  <c r="E55" i="4"/>
  <c r="H50" i="4"/>
  <c r="B9" i="9"/>
  <c r="A9" i="9" s="1"/>
  <c r="A8" i="9"/>
  <c r="B9" i="10"/>
  <c r="A8" i="10"/>
  <c r="A7" i="14"/>
  <c r="B8" i="14"/>
  <c r="A52" i="18"/>
  <c r="G7" i="1"/>
  <c r="A9" i="1"/>
  <c r="C5" i="17"/>
  <c r="B8" i="3"/>
  <c r="B9" i="3" s="1"/>
  <c r="B10" i="3" s="1"/>
  <c r="B41" i="9"/>
  <c r="N38" i="9"/>
  <c r="B50" i="4"/>
  <c r="N39" i="10"/>
  <c r="AO11" i="15"/>
  <c r="N37" i="1"/>
  <c r="A51" i="18"/>
  <c r="N38" i="3"/>
  <c r="D11" i="17"/>
  <c r="N210" i="15"/>
  <c r="P156" i="15"/>
  <c r="Q156" i="15" s="1"/>
  <c r="R156" i="15" s="1"/>
  <c r="S156" i="15" s="1"/>
  <c r="T156" i="15" s="1"/>
  <c r="N157" i="15" s="1"/>
  <c r="O157" i="15" s="1"/>
  <c r="P157" i="15" s="1"/>
  <c r="Q157" i="15" s="1"/>
  <c r="R157" i="15" s="1"/>
  <c r="S157" i="15" s="1"/>
  <c r="T157" i="15" s="1"/>
  <c r="N158" i="15" s="1"/>
  <c r="O158" i="15" s="1"/>
  <c r="P158" i="15" s="1"/>
  <c r="Q158" i="15" s="1"/>
  <c r="R158" i="15" s="1"/>
  <c r="S158" i="15" s="1"/>
  <c r="T158" i="15" s="1"/>
  <c r="N159" i="15" s="1"/>
  <c r="O159" i="15" s="1"/>
  <c r="P159" i="15" s="1"/>
  <c r="Q159" i="15" s="1"/>
  <c r="R159" i="15" s="1"/>
  <c r="S159" i="15" s="1"/>
  <c r="T159" i="15" s="1"/>
  <c r="N160" i="15" s="1"/>
  <c r="D19" i="17"/>
  <c r="C9" i="17"/>
  <c r="N201" i="15"/>
  <c r="O201" i="15" s="1"/>
  <c r="P201" i="15" s="1"/>
  <c r="Q201" i="15" s="1"/>
  <c r="R201" i="15" s="1"/>
  <c r="S201" i="15" s="1"/>
  <c r="T201" i="15" s="1"/>
  <c r="N202" i="15" s="1"/>
  <c r="O202" i="15" s="1"/>
  <c r="P202" i="15" s="1"/>
  <c r="Q202" i="15" s="1"/>
  <c r="R202" i="15" s="1"/>
  <c r="S202" i="15" s="1"/>
  <c r="T202" i="15" s="1"/>
  <c r="N203" i="15" s="1"/>
  <c r="O203" i="15" s="1"/>
  <c r="P203" i="15" s="1"/>
  <c r="Q203" i="15" s="1"/>
  <c r="R203" i="15" s="1"/>
  <c r="S203" i="15" s="1"/>
  <c r="T203" i="15" s="1"/>
  <c r="N204" i="15" s="1"/>
  <c r="O204" i="15" s="1"/>
  <c r="P204" i="15" s="1"/>
  <c r="Q204" i="15" s="1"/>
  <c r="R204" i="15" s="1"/>
  <c r="S204" i="15" s="1"/>
  <c r="T204" i="15" s="1"/>
  <c r="N205" i="15" s="1"/>
  <c r="O205" i="15" s="1"/>
  <c r="P205" i="15" s="1"/>
  <c r="Q205" i="15" s="1"/>
  <c r="R205" i="15" s="1"/>
  <c r="S205" i="15" s="1"/>
  <c r="T205" i="15" s="1"/>
  <c r="D10" i="17"/>
  <c r="N38" i="6"/>
  <c r="B42" i="14"/>
  <c r="M93" i="15"/>
  <c r="M94" i="15" s="1"/>
  <c r="M95" i="15" s="1"/>
  <c r="M96" i="15" s="1"/>
  <c r="Q93" i="15"/>
  <c r="M210" i="15"/>
  <c r="B50" i="2"/>
  <c r="D7" i="17"/>
  <c r="D4" i="17"/>
  <c r="S93" i="15"/>
  <c r="T93" i="15" s="1"/>
  <c r="N94" i="15" s="1"/>
  <c r="O94" i="15" s="1"/>
  <c r="P94" i="15" s="1"/>
  <c r="Q94" i="15" s="1"/>
  <c r="R94" i="15" s="1"/>
  <c r="S94" i="15" s="1"/>
  <c r="T94" i="15" s="1"/>
  <c r="N95" i="15" s="1"/>
  <c r="O95" i="15" s="1"/>
  <c r="P95" i="15" s="1"/>
  <c r="Q95" i="15" s="1"/>
  <c r="R95" i="15" s="1"/>
  <c r="S95" i="15" s="1"/>
  <c r="T95" i="15" s="1"/>
  <c r="N96" i="15" s="1"/>
  <c r="O96" i="15" s="1"/>
  <c r="P96" i="15" s="1"/>
  <c r="Q96" i="15" s="1"/>
  <c r="R96" i="15" s="1"/>
  <c r="S96" i="15" s="1"/>
  <c r="T96" i="15" s="1"/>
  <c r="N97" i="15" s="1"/>
  <c r="A49" i="18"/>
  <c r="A7" i="7"/>
  <c r="B49" i="9"/>
  <c r="M138" i="15"/>
  <c r="M139" i="15" s="1"/>
  <c r="M140" i="15" s="1"/>
  <c r="M141" i="15" s="1"/>
  <c r="T210" i="15"/>
  <c r="N211" i="15" s="1"/>
  <c r="O211" i="15" s="1"/>
  <c r="P211" i="15" s="1"/>
  <c r="Q211" i="15" s="1"/>
  <c r="R211" i="15" s="1"/>
  <c r="S211" i="15" s="1"/>
  <c r="T211" i="15" s="1"/>
  <c r="N212" i="15" s="1"/>
  <c r="O212" i="15" s="1"/>
  <c r="P212" i="15" s="1"/>
  <c r="Q212" i="15" s="1"/>
  <c r="R212" i="15" s="1"/>
  <c r="S212" i="15" s="1"/>
  <c r="T212" i="15" s="1"/>
  <c r="N213" i="15" s="1"/>
  <c r="O213" i="15" s="1"/>
  <c r="P213" i="15" s="1"/>
  <c r="Q213" i="15" s="1"/>
  <c r="R213" i="15" s="1"/>
  <c r="S213" i="15" s="1"/>
  <c r="T213" i="15" s="1"/>
  <c r="N214" i="15" s="1"/>
  <c r="O214" i="15" s="1"/>
  <c r="P214" i="15" s="1"/>
  <c r="Q214" i="15" s="1"/>
  <c r="R214" i="15" s="1"/>
  <c r="S214" i="15" s="1"/>
  <c r="T214" i="15" s="1"/>
  <c r="N215" i="15" s="1"/>
  <c r="B8" i="7"/>
  <c r="N39" i="2"/>
  <c r="M147" i="15"/>
  <c r="M148" i="15" s="1"/>
  <c r="M149" i="15" s="1"/>
  <c r="M150" i="15" s="1"/>
  <c r="AO14" i="15"/>
  <c r="G18" i="17"/>
  <c r="N39" i="7"/>
  <c r="N39" i="5"/>
  <c r="H49" i="4"/>
  <c r="J4" i="15" s="1"/>
  <c r="H50" i="5" s="1"/>
  <c r="E47" i="4"/>
  <c r="E44" i="1" s="1"/>
  <c r="E45" i="1" s="1"/>
  <c r="E46" i="2" s="1"/>
  <c r="E47" i="2" s="1"/>
  <c r="E45" i="3" s="1"/>
  <c r="E46" i="3" s="1"/>
  <c r="E46" i="5" s="1"/>
  <c r="E47" i="5" s="1"/>
  <c r="E45" i="6" s="1"/>
  <c r="E46" i="6" s="1"/>
  <c r="E46" i="7" s="1"/>
  <c r="E47" i="7" s="1"/>
  <c r="E46" i="8" s="1"/>
  <c r="E47" i="8" s="1"/>
  <c r="E45" i="9" s="1"/>
  <c r="E46" i="9" s="1"/>
  <c r="E46" i="10" s="1"/>
  <c r="E47" i="10" s="1"/>
  <c r="E45" i="13" s="1"/>
  <c r="E46" i="13" s="1"/>
  <c r="E46" i="14" s="1"/>
  <c r="E47" i="14" s="1"/>
  <c r="J19" i="15" s="1"/>
  <c r="K19" i="15" s="1"/>
  <c r="AG46" i="15"/>
  <c r="AH41" i="15"/>
  <c r="G7" i="7" s="1"/>
  <c r="AF42" i="15"/>
  <c r="AH45" i="15"/>
  <c r="A11" i="15"/>
  <c r="A10" i="15"/>
  <c r="AI44" i="15"/>
  <c r="AK41" i="15"/>
  <c r="G7" i="10" s="1"/>
  <c r="AG45" i="15"/>
  <c r="AF44" i="15"/>
  <c r="AK45" i="15"/>
  <c r="AH48" i="15"/>
  <c r="AJ48" i="15"/>
  <c r="AH44" i="15"/>
  <c r="AG42" i="15"/>
  <c r="AI43" i="15"/>
  <c r="AI47" i="15"/>
  <c r="AJ42" i="15"/>
  <c r="G8" i="9" s="1"/>
  <c r="AJ47" i="15"/>
  <c r="AK44" i="15"/>
  <c r="AK48" i="15"/>
  <c r="AH47" i="15"/>
  <c r="AH42" i="15"/>
  <c r="G8" i="7" s="1"/>
  <c r="AG48" i="15"/>
  <c r="AG44" i="15"/>
  <c r="AF47" i="15"/>
  <c r="AI42" i="15"/>
  <c r="AI46" i="15"/>
  <c r="AJ44" i="15"/>
  <c r="AJ46" i="15"/>
  <c r="AK43" i="15"/>
  <c r="G9" i="10" s="1"/>
  <c r="AK47" i="15"/>
  <c r="AH46" i="15"/>
  <c r="AH43" i="15"/>
  <c r="AG47" i="15"/>
  <c r="AG43" i="15"/>
  <c r="AG41" i="15"/>
  <c r="AF43" i="15"/>
  <c r="AF41" i="15"/>
  <c r="AI41" i="15"/>
  <c r="G7" i="8" s="1"/>
  <c r="AI45" i="15"/>
  <c r="AJ43" i="15"/>
  <c r="AJ41" i="15"/>
  <c r="G7" i="9" s="1"/>
  <c r="AJ45" i="15"/>
  <c r="AK42" i="15"/>
  <c r="G8" i="10" s="1"/>
  <c r="AK46" i="15"/>
  <c r="M124" i="15"/>
  <c r="O124" i="15"/>
  <c r="P124" i="15" s="1"/>
  <c r="Q124" i="15" s="1"/>
  <c r="R124" i="15" s="1"/>
  <c r="S124" i="15" s="1"/>
  <c r="T124" i="15" s="1"/>
  <c r="N125" i="15" s="1"/>
  <c r="B49" i="13"/>
  <c r="H49" i="14"/>
  <c r="J15" i="15" s="1"/>
  <c r="O170" i="15"/>
  <c r="M170" i="15"/>
  <c r="B50" i="7"/>
  <c r="B10" i="13"/>
  <c r="G9" i="13"/>
  <c r="B50" i="5"/>
  <c r="B50" i="8"/>
  <c r="Q111" i="15"/>
  <c r="O102" i="15"/>
  <c r="P102" i="15" s="1"/>
  <c r="Q102" i="15" s="1"/>
  <c r="R102" i="15" s="1"/>
  <c r="S102" i="15" s="1"/>
  <c r="T102" i="15" s="1"/>
  <c r="N103" i="15" s="1"/>
  <c r="O103" i="15" s="1"/>
  <c r="P103" i="15" s="1"/>
  <c r="Q103" i="15" s="1"/>
  <c r="R103" i="15" s="1"/>
  <c r="S103" i="15" s="1"/>
  <c r="T103" i="15" s="1"/>
  <c r="N104" i="15" s="1"/>
  <c r="O104" i="15" s="1"/>
  <c r="P104" i="15" s="1"/>
  <c r="Q104" i="15" s="1"/>
  <c r="R104" i="15" s="1"/>
  <c r="S104" i="15" s="1"/>
  <c r="T104" i="15" s="1"/>
  <c r="N105" i="15" s="1"/>
  <c r="O105" i="15" s="1"/>
  <c r="P105" i="15" s="1"/>
  <c r="Q105" i="15" s="1"/>
  <c r="R105" i="15" s="1"/>
  <c r="S105" i="15" s="1"/>
  <c r="T105" i="15" s="1"/>
  <c r="N106" i="15" s="1"/>
  <c r="O111" i="15"/>
  <c r="P111" i="15"/>
  <c r="N111" i="15"/>
  <c r="R111" i="15"/>
  <c r="S111" i="15" s="1"/>
  <c r="T111" i="15" s="1"/>
  <c r="N112" i="15" s="1"/>
  <c r="O112" i="15" s="1"/>
  <c r="P112" i="15" s="1"/>
  <c r="Q112" i="15" s="1"/>
  <c r="R112" i="15" s="1"/>
  <c r="S112" i="15" s="1"/>
  <c r="T112" i="15" s="1"/>
  <c r="N113" i="15" s="1"/>
  <c r="O113" i="15" s="1"/>
  <c r="P113" i="15" s="1"/>
  <c r="Q113" i="15" s="1"/>
  <c r="R113" i="15" s="1"/>
  <c r="S113" i="15" s="1"/>
  <c r="T113" i="15" s="1"/>
  <c r="N114" i="15" s="1"/>
  <c r="O114" i="15" s="1"/>
  <c r="P114" i="15" s="1"/>
  <c r="Q114" i="15" s="1"/>
  <c r="R114" i="15" s="1"/>
  <c r="S114" i="15" s="1"/>
  <c r="T114" i="15" s="1"/>
  <c r="N115" i="15" s="1"/>
  <c r="O174" i="15"/>
  <c r="P174" i="15" s="1"/>
  <c r="Q174" i="15" s="1"/>
  <c r="R174" i="15" s="1"/>
  <c r="S174" i="15" s="1"/>
  <c r="T174" i="15" s="1"/>
  <c r="N175" i="15" s="1"/>
  <c r="O175" i="15" s="1"/>
  <c r="P175" i="15" s="1"/>
  <c r="Q175" i="15" s="1"/>
  <c r="R175" i="15" s="1"/>
  <c r="S175" i="15" s="1"/>
  <c r="T175" i="15" s="1"/>
  <c r="N176" i="15" s="1"/>
  <c r="O176" i="15" s="1"/>
  <c r="P176" i="15" s="1"/>
  <c r="Q176" i="15" s="1"/>
  <c r="R176" i="15" s="1"/>
  <c r="S176" i="15" s="1"/>
  <c r="T176" i="15" s="1"/>
  <c r="N177" i="15" s="1"/>
  <c r="O177" i="15" s="1"/>
  <c r="P177" i="15" s="1"/>
  <c r="Q177" i="15" s="1"/>
  <c r="R177" i="15" s="1"/>
  <c r="S177" i="15" s="1"/>
  <c r="T177" i="15" s="1"/>
  <c r="N178" i="15" s="1"/>
  <c r="O138" i="15"/>
  <c r="P138" i="15" s="1"/>
  <c r="Q138" i="15" s="1"/>
  <c r="R138" i="15" s="1"/>
  <c r="S138" i="15" s="1"/>
  <c r="T138" i="15" s="1"/>
  <c r="N139" i="15" s="1"/>
  <c r="O139" i="15" s="1"/>
  <c r="P139" i="15" s="1"/>
  <c r="Q139" i="15" s="1"/>
  <c r="R139" i="15" s="1"/>
  <c r="S139" i="15" s="1"/>
  <c r="T139" i="15" s="1"/>
  <c r="N140" i="15" s="1"/>
  <c r="O140" i="15" s="1"/>
  <c r="P140" i="15" s="1"/>
  <c r="Q140" i="15" s="1"/>
  <c r="R140" i="15" s="1"/>
  <c r="S140" i="15" s="1"/>
  <c r="T140" i="15" s="1"/>
  <c r="N141" i="15" s="1"/>
  <c r="O141" i="15" s="1"/>
  <c r="P141" i="15" s="1"/>
  <c r="Q141" i="15" s="1"/>
  <c r="R141" i="15" s="1"/>
  <c r="S141" i="15" s="1"/>
  <c r="T141" i="15" s="1"/>
  <c r="N142" i="15" s="1"/>
  <c r="B11" i="5"/>
  <c r="O183" i="15"/>
  <c r="P183" i="15" s="1"/>
  <c r="Q183" i="15" s="1"/>
  <c r="R183" i="15" s="1"/>
  <c r="S183" i="15" s="1"/>
  <c r="T183" i="15" s="1"/>
  <c r="N184" i="15" s="1"/>
  <c r="O184" i="15" s="1"/>
  <c r="P184" i="15" s="1"/>
  <c r="Q184" i="15" s="1"/>
  <c r="R184" i="15" s="1"/>
  <c r="S184" i="15" s="1"/>
  <c r="T184" i="15" s="1"/>
  <c r="N185" i="15" s="1"/>
  <c r="O185" i="15" s="1"/>
  <c r="P185" i="15" s="1"/>
  <c r="Q185" i="15" s="1"/>
  <c r="R185" i="15" s="1"/>
  <c r="S185" i="15" s="1"/>
  <c r="T185" i="15" s="1"/>
  <c r="N186" i="15" s="1"/>
  <c r="O186" i="15" s="1"/>
  <c r="P186" i="15" s="1"/>
  <c r="Q186" i="15" s="1"/>
  <c r="R186" i="15" s="1"/>
  <c r="S186" i="15" s="1"/>
  <c r="T186" i="15" s="1"/>
  <c r="N187" i="15" s="1"/>
  <c r="B10" i="6"/>
  <c r="T147" i="15"/>
  <c r="N148" i="15" s="1"/>
  <c r="O148" i="15" s="1"/>
  <c r="P148" i="15" s="1"/>
  <c r="Q148" i="15" s="1"/>
  <c r="R148" i="15" s="1"/>
  <c r="S148" i="15" s="1"/>
  <c r="T148" i="15" s="1"/>
  <c r="N149" i="15" s="1"/>
  <c r="O149" i="15" s="1"/>
  <c r="P149" i="15" s="1"/>
  <c r="Q149" i="15" s="1"/>
  <c r="R149" i="15" s="1"/>
  <c r="S149" i="15" s="1"/>
  <c r="T149" i="15" s="1"/>
  <c r="N150" i="15" s="1"/>
  <c r="O150" i="15" s="1"/>
  <c r="P150" i="15" s="1"/>
  <c r="Q150" i="15" s="1"/>
  <c r="R150" i="15" s="1"/>
  <c r="S150" i="15" s="1"/>
  <c r="T150" i="15" s="1"/>
  <c r="N151" i="15" s="1"/>
  <c r="AA49" i="15"/>
  <c r="AF48" i="15"/>
  <c r="AF46" i="15"/>
  <c r="AF45" i="15"/>
  <c r="G8" i="2"/>
  <c r="B10" i="2"/>
  <c r="E54" i="3"/>
  <c r="E55" i="5" s="1"/>
  <c r="E54" i="6" s="1"/>
  <c r="E55" i="7" s="1"/>
  <c r="E55" i="8" s="1"/>
  <c r="E54" i="9" s="1"/>
  <c r="E55" i="10" s="1"/>
  <c r="E54" i="13" s="1"/>
  <c r="E55" i="14" s="1"/>
  <c r="AA9" i="15"/>
  <c r="G8" i="4"/>
  <c r="B9" i="4"/>
  <c r="G11" i="1"/>
  <c r="B12" i="1"/>
  <c r="AO30" i="15"/>
  <c r="AP30" i="15" s="1"/>
  <c r="H55" i="18" s="1"/>
  <c r="F55" i="18" s="1"/>
  <c r="AO28" i="15"/>
  <c r="AP28" i="15" s="1"/>
  <c r="H53" i="18" s="1"/>
  <c r="F53" i="18" s="1"/>
  <c r="AO24" i="15"/>
  <c r="AO27" i="15"/>
  <c r="AP27" i="15" s="1"/>
  <c r="H52" i="18" s="1"/>
  <c r="F52" i="18" s="1"/>
  <c r="AO29" i="15"/>
  <c r="AP29" i="15" s="1"/>
  <c r="H54" i="18" s="1"/>
  <c r="F54" i="18" s="1"/>
  <c r="AO13" i="15"/>
  <c r="AO10" i="15"/>
  <c r="C6" i="17"/>
  <c r="M219" i="15"/>
  <c r="T219" i="15"/>
  <c r="N220" i="15" s="1"/>
  <c r="O220" i="15" s="1"/>
  <c r="P220" i="15" s="1"/>
  <c r="Q220" i="15" s="1"/>
  <c r="R220" i="15" s="1"/>
  <c r="S220" i="15" s="1"/>
  <c r="T220" i="15" s="1"/>
  <c r="N221" i="15" s="1"/>
  <c r="O221" i="15" s="1"/>
  <c r="P221" i="15" s="1"/>
  <c r="Q221" i="15" s="1"/>
  <c r="R221" i="15" s="1"/>
  <c r="S221" i="15" s="1"/>
  <c r="T221" i="15" s="1"/>
  <c r="N222" i="15" s="1"/>
  <c r="O222" i="15" s="1"/>
  <c r="P222" i="15" s="1"/>
  <c r="Q222" i="15" s="1"/>
  <c r="R222" i="15" s="1"/>
  <c r="S222" i="15" s="1"/>
  <c r="T222" i="15" s="1"/>
  <c r="N223" i="15" s="1"/>
  <c r="O133" i="15" l="1"/>
  <c r="P133" i="15" s="1"/>
  <c r="Q133" i="15" s="1"/>
  <c r="R133" i="15" s="1"/>
  <c r="S133" i="15" s="1"/>
  <c r="T133" i="15" s="1"/>
  <c r="N134" i="15" s="1"/>
  <c r="M134" i="15" s="1"/>
  <c r="M133" i="15"/>
  <c r="B9" i="8"/>
  <c r="A8" i="8"/>
  <c r="B10" i="9"/>
  <c r="G8" i="8"/>
  <c r="D48" i="18"/>
  <c r="G9" i="9"/>
  <c r="G9" i="8"/>
  <c r="A10" i="5"/>
  <c r="G10" i="5" s="1"/>
  <c r="H49" i="3"/>
  <c r="H50" i="10"/>
  <c r="H50" i="14"/>
  <c r="H50" i="8"/>
  <c r="J16" i="15"/>
  <c r="K16" i="15" s="1"/>
  <c r="H49" i="13"/>
  <c r="H50" i="2"/>
  <c r="M106" i="15"/>
  <c r="O106" i="15"/>
  <c r="P106" i="15" s="1"/>
  <c r="Q106" i="15" s="1"/>
  <c r="R106" i="15" s="1"/>
  <c r="S106" i="15" s="1"/>
  <c r="T106" i="15" s="1"/>
  <c r="N107" i="15" s="1"/>
  <c r="AO8" i="15"/>
  <c r="A46" i="18"/>
  <c r="A8" i="14"/>
  <c r="G8" i="14"/>
  <c r="B9" i="14"/>
  <c r="B10" i="10"/>
  <c r="A9" i="10"/>
  <c r="D5" i="17"/>
  <c r="D8" i="17"/>
  <c r="D6" i="17"/>
  <c r="D9" i="17"/>
  <c r="M214" i="15"/>
  <c r="D49" i="18"/>
  <c r="AO17" i="15"/>
  <c r="AO16" i="15"/>
  <c r="AG8" i="15" s="1"/>
  <c r="J8" i="6" s="1"/>
  <c r="D50" i="18"/>
  <c r="AO21" i="15"/>
  <c r="AP21" i="15" s="1"/>
  <c r="H46" i="18" s="1"/>
  <c r="F46" i="18" s="1"/>
  <c r="AO22" i="15"/>
  <c r="AP22" i="15" s="1"/>
  <c r="H47" i="18" s="1"/>
  <c r="F47" i="18" s="1"/>
  <c r="AO26" i="15"/>
  <c r="AP26" i="15" s="1"/>
  <c r="H51" i="18" s="1"/>
  <c r="F51" i="18" s="1"/>
  <c r="AO20" i="15"/>
  <c r="AP20" i="15" s="1"/>
  <c r="H45" i="18" s="1"/>
  <c r="F45" i="18" s="1"/>
  <c r="AO25" i="15"/>
  <c r="AP25" i="15" s="1"/>
  <c r="H50" i="18" s="1"/>
  <c r="F50" i="18" s="1"/>
  <c r="AO23" i="15"/>
  <c r="AP23" i="15" s="1"/>
  <c r="H48" i="18" s="1"/>
  <c r="F48" i="18" s="1"/>
  <c r="O97" i="15"/>
  <c r="P97" i="15" s="1"/>
  <c r="Q97" i="15" s="1"/>
  <c r="R97" i="15" s="1"/>
  <c r="S97" i="15" s="1"/>
  <c r="T97" i="15" s="1"/>
  <c r="N98" i="15" s="1"/>
  <c r="M98" i="15" s="1"/>
  <c r="A8" i="7"/>
  <c r="B9" i="7"/>
  <c r="H48" i="1"/>
  <c r="H49" i="9"/>
  <c r="H50" i="7"/>
  <c r="H49" i="6"/>
  <c r="O142" i="15"/>
  <c r="P142" i="15" s="1"/>
  <c r="Q142" i="15" s="1"/>
  <c r="R142" i="15" s="1"/>
  <c r="S142" i="15" s="1"/>
  <c r="T142" i="15" s="1"/>
  <c r="N143" i="15" s="1"/>
  <c r="M142" i="15"/>
  <c r="O115" i="15"/>
  <c r="P115" i="15" s="1"/>
  <c r="Q115" i="15" s="1"/>
  <c r="R115" i="15" s="1"/>
  <c r="S115" i="15" s="1"/>
  <c r="T115" i="15" s="1"/>
  <c r="M115" i="15"/>
  <c r="O187" i="15"/>
  <c r="P187" i="15" s="1"/>
  <c r="Q187" i="15" s="1"/>
  <c r="R187" i="15" s="1"/>
  <c r="S187" i="15" s="1"/>
  <c r="T187" i="15" s="1"/>
  <c r="N188" i="15" s="1"/>
  <c r="M187" i="15"/>
  <c r="AO9" i="15"/>
  <c r="AD9" i="15" s="1"/>
  <c r="J9" i="2" s="1"/>
  <c r="A48" i="18"/>
  <c r="O151" i="15"/>
  <c r="P151" i="15" s="1"/>
  <c r="Q151" i="15" s="1"/>
  <c r="R151" i="15" s="1"/>
  <c r="S151" i="15" s="1"/>
  <c r="T151" i="15" s="1"/>
  <c r="N152" i="15" s="1"/>
  <c r="M151" i="15"/>
  <c r="G10" i="13"/>
  <c r="B11" i="13"/>
  <c r="A10" i="13"/>
  <c r="M107" i="15"/>
  <c r="O107" i="15"/>
  <c r="P107" i="15" s="1"/>
  <c r="M125" i="15"/>
  <c r="O125" i="15"/>
  <c r="B13" i="1"/>
  <c r="G12" i="1"/>
  <c r="A12" i="1"/>
  <c r="AA10" i="15"/>
  <c r="AJ9" i="15"/>
  <c r="J9" i="9" s="1"/>
  <c r="AM9" i="15"/>
  <c r="J9" i="14" s="1"/>
  <c r="AK9" i="15"/>
  <c r="J9" i="10" s="1"/>
  <c r="AH9" i="15"/>
  <c r="J9" i="7" s="1"/>
  <c r="AL9" i="15"/>
  <c r="J9" i="13" s="1"/>
  <c r="AI9" i="15"/>
  <c r="J9" i="8" s="1"/>
  <c r="AF9" i="15"/>
  <c r="J9" i="5" s="1"/>
  <c r="AB9" i="15"/>
  <c r="J9" i="4" s="1"/>
  <c r="AC9" i="15"/>
  <c r="J9" i="1" s="1"/>
  <c r="B11" i="2"/>
  <c r="G10" i="2"/>
  <c r="AA50" i="15"/>
  <c r="AF49" i="15"/>
  <c r="AG49" i="15"/>
  <c r="AH49" i="15"/>
  <c r="AK49" i="15"/>
  <c r="AI49" i="15"/>
  <c r="AJ49" i="15"/>
  <c r="O178" i="15"/>
  <c r="P178" i="15" s="1"/>
  <c r="Q178" i="15" s="1"/>
  <c r="R178" i="15" s="1"/>
  <c r="S178" i="15" s="1"/>
  <c r="T178" i="15" s="1"/>
  <c r="N179" i="15" s="1"/>
  <c r="M178" i="15"/>
  <c r="O160" i="15"/>
  <c r="P160" i="15" s="1"/>
  <c r="Q160" i="15" s="1"/>
  <c r="R160" i="15" s="1"/>
  <c r="S160" i="15" s="1"/>
  <c r="T160" i="15" s="1"/>
  <c r="N161" i="15" s="1"/>
  <c r="M160" i="15"/>
  <c r="A10" i="3"/>
  <c r="B11" i="3"/>
  <c r="B12" i="5"/>
  <c r="A11" i="5"/>
  <c r="G11" i="5" s="1"/>
  <c r="O223" i="15"/>
  <c r="P223" i="15" s="1"/>
  <c r="Q223" i="15" s="1"/>
  <c r="R223" i="15" s="1"/>
  <c r="S223" i="15" s="1"/>
  <c r="T223" i="15" s="1"/>
  <c r="N224" i="15" s="1"/>
  <c r="M223" i="15"/>
  <c r="A8" i="5"/>
  <c r="G8" i="5" s="1"/>
  <c r="A9" i="5"/>
  <c r="G9" i="5" s="1"/>
  <c r="AF8" i="15"/>
  <c r="J8" i="5" s="1"/>
  <c r="A7" i="5"/>
  <c r="AF7" i="15"/>
  <c r="J7" i="5" s="1"/>
  <c r="AB7" i="15"/>
  <c r="J7" i="4" s="1"/>
  <c r="AP24" i="15"/>
  <c r="H49" i="18" s="1"/>
  <c r="F49" i="18" s="1"/>
  <c r="AH8" i="15"/>
  <c r="J8" i="7" s="1"/>
  <c r="AB8" i="15"/>
  <c r="J8" i="4" s="1"/>
  <c r="AL7" i="15"/>
  <c r="J7" i="13" s="1"/>
  <c r="AC8" i="15"/>
  <c r="J8" i="1" s="1"/>
  <c r="AM8" i="15"/>
  <c r="J8" i="14" s="1"/>
  <c r="AI7" i="15"/>
  <c r="J7" i="8" s="1"/>
  <c r="AH7" i="15"/>
  <c r="J7" i="7" s="1"/>
  <c r="AL8" i="15"/>
  <c r="J8" i="13" s="1"/>
  <c r="AM7" i="15"/>
  <c r="J7" i="14" s="1"/>
  <c r="AK7" i="15"/>
  <c r="J7" i="10" s="1"/>
  <c r="AI8" i="15"/>
  <c r="J8" i="8" s="1"/>
  <c r="AC7" i="15"/>
  <c r="J7" i="1" s="1"/>
  <c r="AK8" i="15"/>
  <c r="J8" i="10" s="1"/>
  <c r="AJ8" i="15"/>
  <c r="J8" i="9" s="1"/>
  <c r="B11" i="6"/>
  <c r="A10" i="6"/>
  <c r="G10" i="6" s="1"/>
  <c r="O215" i="15"/>
  <c r="M215" i="15"/>
  <c r="AJ7" i="15"/>
  <c r="J7" i="9" s="1"/>
  <c r="B10" i="4"/>
  <c r="A9" i="4"/>
  <c r="O196" i="15"/>
  <c r="P196" i="15" s="1"/>
  <c r="Q196" i="15" s="1"/>
  <c r="R196" i="15" s="1"/>
  <c r="S196" i="15" s="1"/>
  <c r="T196" i="15" s="1"/>
  <c r="N197" i="15" s="1"/>
  <c r="M196" i="15"/>
  <c r="M205" i="15"/>
  <c r="G10" i="9"/>
  <c r="B11" i="9"/>
  <c r="A10" i="9"/>
  <c r="AE46" i="15" l="1"/>
  <c r="AE9" i="15"/>
  <c r="J9" i="3" s="1"/>
  <c r="AE49" i="15"/>
  <c r="AE48" i="15"/>
  <c r="O98" i="15"/>
  <c r="P98" i="15" s="1"/>
  <c r="B10" i="8"/>
  <c r="A9" i="8"/>
  <c r="A10" i="2"/>
  <c r="AE47" i="15"/>
  <c r="A10" i="10"/>
  <c r="B11" i="10"/>
  <c r="G10" i="10"/>
  <c r="A7" i="6"/>
  <c r="G7" i="6" s="1"/>
  <c r="A8" i="6"/>
  <c r="G8" i="6" s="1"/>
  <c r="A9" i="6"/>
  <c r="G9" i="6" s="1"/>
  <c r="AG7" i="15"/>
  <c r="J7" i="6" s="1"/>
  <c r="AG9" i="15"/>
  <c r="J9" i="6" s="1"/>
  <c r="B10" i="7"/>
  <c r="A9" i="7"/>
  <c r="G9" i="7"/>
  <c r="G9" i="14"/>
  <c r="A9" i="14"/>
  <c r="B10" i="14"/>
  <c r="M97" i="15"/>
  <c r="M152" i="15"/>
  <c r="O152" i="15"/>
  <c r="O188" i="15"/>
  <c r="M188" i="15"/>
  <c r="M143" i="15"/>
  <c r="O143" i="15"/>
  <c r="M224" i="15"/>
  <c r="O224" i="15"/>
  <c r="A11" i="3"/>
  <c r="G11" i="3" s="1"/>
  <c r="B12" i="3"/>
  <c r="M161" i="15"/>
  <c r="O161" i="15"/>
  <c r="G11" i="13"/>
  <c r="B12" i="13"/>
  <c r="A11" i="13"/>
  <c r="B11" i="4"/>
  <c r="A10" i="4"/>
  <c r="B12" i="9"/>
  <c r="G11" i="9"/>
  <c r="A11" i="9"/>
  <c r="B12" i="2"/>
  <c r="G11" i="2"/>
  <c r="A11" i="2"/>
  <c r="B14" i="1"/>
  <c r="G13" i="1"/>
  <c r="A13" i="1"/>
  <c r="A7" i="3"/>
  <c r="AE43" i="15"/>
  <c r="AE42" i="15"/>
  <c r="AE41" i="15"/>
  <c r="AE45" i="15"/>
  <c r="A7" i="2"/>
  <c r="AE7" i="15"/>
  <c r="J7" i="3" s="1"/>
  <c r="AD8" i="15"/>
  <c r="J8" i="2" s="1"/>
  <c r="A8" i="2"/>
  <c r="AE8" i="15"/>
  <c r="J8" i="3" s="1"/>
  <c r="AD7" i="15"/>
  <c r="J7" i="2" s="1"/>
  <c r="A9" i="2"/>
  <c r="A9" i="3"/>
  <c r="AE44" i="15"/>
  <c r="G10" i="3" s="1"/>
  <c r="A8" i="3"/>
  <c r="O197" i="15"/>
  <c r="M197" i="15"/>
  <c r="A11" i="6"/>
  <c r="G11" i="6" s="1"/>
  <c r="B12" i="6"/>
  <c r="A12" i="5"/>
  <c r="G12" i="5" s="1"/>
  <c r="B13" i="5"/>
  <c r="O179" i="15"/>
  <c r="M179" i="15"/>
  <c r="AA51" i="15"/>
  <c r="AE50" i="15"/>
  <c r="AG50" i="15"/>
  <c r="AH50" i="15"/>
  <c r="AJ50" i="15"/>
  <c r="AK50" i="15"/>
  <c r="AI50" i="15"/>
  <c r="AF50" i="15"/>
  <c r="AA11" i="15"/>
  <c r="AJ10" i="15"/>
  <c r="J10" i="9" s="1"/>
  <c r="AI10" i="15"/>
  <c r="J10" i="8" s="1"/>
  <c r="AC10" i="15"/>
  <c r="J10" i="1" s="1"/>
  <c r="AM10" i="15"/>
  <c r="J10" i="14" s="1"/>
  <c r="AK10" i="15"/>
  <c r="J10" i="10" s="1"/>
  <c r="AF10" i="15"/>
  <c r="J10" i="5" s="1"/>
  <c r="AB10" i="15"/>
  <c r="J10" i="4" s="1"/>
  <c r="AG10" i="15"/>
  <c r="J10" i="6" s="1"/>
  <c r="AD10" i="15"/>
  <c r="J10" i="2" s="1"/>
  <c r="AL10" i="15"/>
  <c r="J10" i="13" s="1"/>
  <c r="AH10" i="15"/>
  <c r="J10" i="7" s="1"/>
  <c r="AE10" i="15"/>
  <c r="J10" i="3" s="1"/>
  <c r="G7" i="3" l="1"/>
  <c r="A10" i="8"/>
  <c r="B11" i="8"/>
  <c r="G10" i="8"/>
  <c r="G8" i="3"/>
  <c r="A10" i="7"/>
  <c r="B11" i="7"/>
  <c r="G10" i="7"/>
  <c r="G10" i="14"/>
  <c r="A10" i="14"/>
  <c r="B11" i="14"/>
  <c r="B12" i="10"/>
  <c r="G11" i="10"/>
  <c r="A11" i="10"/>
  <c r="G9" i="3"/>
  <c r="A13" i="5"/>
  <c r="G13" i="5" s="1"/>
  <c r="B14" i="5"/>
  <c r="B15" i="1"/>
  <c r="G14" i="1"/>
  <c r="A14" i="1"/>
  <c r="B13" i="9"/>
  <c r="G12" i="9"/>
  <c r="A12" i="9"/>
  <c r="AJ11" i="15"/>
  <c r="J11" i="9" s="1"/>
  <c r="AA12" i="15"/>
  <c r="AB11" i="15"/>
  <c r="J11" i="4" s="1"/>
  <c r="AM11" i="15"/>
  <c r="J11" i="14" s="1"/>
  <c r="AK11" i="15"/>
  <c r="J11" i="10" s="1"/>
  <c r="AH11" i="15"/>
  <c r="J11" i="7" s="1"/>
  <c r="AE11" i="15"/>
  <c r="J11" i="3" s="1"/>
  <c r="AD11" i="15"/>
  <c r="J11" i="2" s="1"/>
  <c r="AG11" i="15"/>
  <c r="J11" i="6" s="1"/>
  <c r="AL11" i="15"/>
  <c r="J11" i="13" s="1"/>
  <c r="AI11" i="15"/>
  <c r="J11" i="8" s="1"/>
  <c r="AF11" i="15"/>
  <c r="J11" i="5" s="1"/>
  <c r="AC11" i="15"/>
  <c r="J11" i="1" s="1"/>
  <c r="AE51" i="15"/>
  <c r="AA52" i="15"/>
  <c r="AH51" i="15"/>
  <c r="AG51" i="15"/>
  <c r="AF51" i="15"/>
  <c r="AK51" i="15"/>
  <c r="AI51" i="15"/>
  <c r="AJ51" i="15"/>
  <c r="G12" i="13"/>
  <c r="B13" i="13"/>
  <c r="A12" i="13"/>
  <c r="A12" i="6"/>
  <c r="G12" i="6" s="1"/>
  <c r="B13" i="6"/>
  <c r="B12" i="4"/>
  <c r="A11" i="4"/>
  <c r="B13" i="2"/>
  <c r="G12" i="2"/>
  <c r="A12" i="2"/>
  <c r="A12" i="3"/>
  <c r="G12" i="3" s="1"/>
  <c r="B13" i="3"/>
  <c r="B12" i="8" l="1"/>
  <c r="G11" i="8"/>
  <c r="A11" i="8"/>
  <c r="A12" i="10"/>
  <c r="B13" i="10"/>
  <c r="G12" i="10"/>
  <c r="A11" i="14"/>
  <c r="G11" i="14"/>
  <c r="B12" i="14"/>
  <c r="G11" i="7"/>
  <c r="B12" i="7"/>
  <c r="A11" i="7"/>
  <c r="G13" i="2"/>
  <c r="B14" i="2"/>
  <c r="A13" i="2"/>
  <c r="AJ12" i="15"/>
  <c r="J12" i="9" s="1"/>
  <c r="AA13" i="15"/>
  <c r="AG12" i="15"/>
  <c r="J12" i="6" s="1"/>
  <c r="AK12" i="15"/>
  <c r="J12" i="10" s="1"/>
  <c r="AF12" i="15"/>
  <c r="J12" i="5" s="1"/>
  <c r="AB12" i="15"/>
  <c r="J12" i="4" s="1"/>
  <c r="AC12" i="15"/>
  <c r="J12" i="1" s="1"/>
  <c r="AM12" i="15"/>
  <c r="J12" i="14" s="1"/>
  <c r="AL12" i="15"/>
  <c r="J12" i="13" s="1"/>
  <c r="AH12" i="15"/>
  <c r="J12" i="7" s="1"/>
  <c r="AE12" i="15"/>
  <c r="J12" i="3" s="1"/>
  <c r="AI12" i="15"/>
  <c r="J12" i="8" s="1"/>
  <c r="AD12" i="15"/>
  <c r="J12" i="2" s="1"/>
  <c r="G13" i="9"/>
  <c r="B14" i="9"/>
  <c r="A13" i="9"/>
  <c r="A14" i="5"/>
  <c r="G14" i="5" s="1"/>
  <c r="B15" i="5"/>
  <c r="B14" i="13"/>
  <c r="G13" i="13"/>
  <c r="A13" i="13"/>
  <c r="A13" i="3"/>
  <c r="G13" i="3" s="1"/>
  <c r="B14" i="3"/>
  <c r="B13" i="4"/>
  <c r="A12" i="4"/>
  <c r="B14" i="6"/>
  <c r="A13" i="6"/>
  <c r="G13" i="6" s="1"/>
  <c r="AA53" i="15"/>
  <c r="AE52" i="15"/>
  <c r="AG52" i="15"/>
  <c r="AF52" i="15"/>
  <c r="AH52" i="15"/>
  <c r="AJ52" i="15"/>
  <c r="AK52" i="15"/>
  <c r="AI52" i="15"/>
  <c r="G15" i="1"/>
  <c r="B16" i="1"/>
  <c r="A15" i="1"/>
  <c r="B13" i="8" l="1"/>
  <c r="G12" i="8"/>
  <c r="A12" i="8"/>
  <c r="A12" i="7"/>
  <c r="G12" i="7"/>
  <c r="B13" i="7"/>
  <c r="B13" i="14"/>
  <c r="G12" i="14"/>
  <c r="A12" i="14"/>
  <c r="B14" i="10"/>
  <c r="A13" i="10"/>
  <c r="G13" i="10"/>
  <c r="AA54" i="15"/>
  <c r="AE53" i="15"/>
  <c r="AF53" i="15"/>
  <c r="AG53" i="15"/>
  <c r="AH53" i="15"/>
  <c r="AK53" i="15"/>
  <c r="AI53" i="15"/>
  <c r="AJ53" i="15"/>
  <c r="B15" i="13"/>
  <c r="G14" i="13"/>
  <c r="A14" i="13"/>
  <c r="B14" i="4"/>
  <c r="A13" i="4"/>
  <c r="B15" i="2"/>
  <c r="G14" i="2"/>
  <c r="A14" i="2"/>
  <c r="G14" i="9"/>
  <c r="B15" i="9"/>
  <c r="A14" i="9"/>
  <c r="B15" i="6"/>
  <c r="A14" i="6"/>
  <c r="G14" i="6" s="1"/>
  <c r="B17" i="1"/>
  <c r="G16" i="1"/>
  <c r="A16" i="1"/>
  <c r="A14" i="3"/>
  <c r="G14" i="3" s="1"/>
  <c r="B15" i="3"/>
  <c r="A15" i="5"/>
  <c r="G15" i="5" s="1"/>
  <c r="B16" i="5"/>
  <c r="AA14" i="15"/>
  <c r="AJ13" i="15"/>
  <c r="J13" i="9" s="1"/>
  <c r="AL13" i="15"/>
  <c r="J13" i="13" s="1"/>
  <c r="AI13" i="15"/>
  <c r="J13" i="8" s="1"/>
  <c r="AF13" i="15"/>
  <c r="J13" i="5" s="1"/>
  <c r="AB13" i="15"/>
  <c r="J13" i="4" s="1"/>
  <c r="AC13" i="15"/>
  <c r="J13" i="1" s="1"/>
  <c r="AM13" i="15"/>
  <c r="J13" i="14" s="1"/>
  <c r="AK13" i="15"/>
  <c r="J13" i="10" s="1"/>
  <c r="AH13" i="15"/>
  <c r="J13" i="7" s="1"/>
  <c r="AE13" i="15"/>
  <c r="J13" i="3" s="1"/>
  <c r="AG13" i="15"/>
  <c r="J13" i="6" s="1"/>
  <c r="AD13" i="15"/>
  <c r="J13" i="2" s="1"/>
  <c r="G13" i="8" l="1"/>
  <c r="A13" i="8"/>
  <c r="B14" i="8"/>
  <c r="A14" i="10"/>
  <c r="B15" i="10"/>
  <c r="G14" i="10"/>
  <c r="A13" i="14"/>
  <c r="G13" i="14"/>
  <c r="B14" i="14"/>
  <c r="G13" i="7"/>
  <c r="B14" i="7"/>
  <c r="A13" i="7"/>
  <c r="A15" i="3"/>
  <c r="G15" i="3" s="1"/>
  <c r="B16" i="3"/>
  <c r="B15" i="4"/>
  <c r="A14" i="4"/>
  <c r="A16" i="5"/>
  <c r="G16" i="5" s="1"/>
  <c r="B17" i="5"/>
  <c r="B18" i="1"/>
  <c r="G17" i="1"/>
  <c r="A17" i="1"/>
  <c r="G15" i="2"/>
  <c r="B16" i="2"/>
  <c r="A15" i="2"/>
  <c r="B16" i="9"/>
  <c r="G15" i="9"/>
  <c r="A15" i="9"/>
  <c r="G15" i="13"/>
  <c r="B16" i="13"/>
  <c r="A15" i="13"/>
  <c r="AA55" i="15"/>
  <c r="AE54" i="15"/>
  <c r="AF54" i="15"/>
  <c r="AG54" i="15"/>
  <c r="AH54" i="15"/>
  <c r="AJ54" i="15"/>
  <c r="AK54" i="15"/>
  <c r="AI54" i="15"/>
  <c r="AA15" i="15"/>
  <c r="AJ14" i="15"/>
  <c r="J14" i="9" s="1"/>
  <c r="AI14" i="15"/>
  <c r="J14" i="8" s="1"/>
  <c r="AC14" i="15"/>
  <c r="J14" i="1" s="1"/>
  <c r="AK14" i="15"/>
  <c r="J14" i="10" s="1"/>
  <c r="AF14" i="15"/>
  <c r="J14" i="5" s="1"/>
  <c r="AB14" i="15"/>
  <c r="J14" i="4" s="1"/>
  <c r="AM14" i="15"/>
  <c r="J14" i="14" s="1"/>
  <c r="AG14" i="15"/>
  <c r="J14" i="6" s="1"/>
  <c r="AD14" i="15"/>
  <c r="J14" i="2" s="1"/>
  <c r="AL14" i="15"/>
  <c r="J14" i="13" s="1"/>
  <c r="AH14" i="15"/>
  <c r="J14" i="7" s="1"/>
  <c r="AE14" i="15"/>
  <c r="J14" i="3" s="1"/>
  <c r="A15" i="6"/>
  <c r="G15" i="6" s="1"/>
  <c r="B16" i="6"/>
  <c r="B15" i="8" l="1"/>
  <c r="G14" i="8"/>
  <c r="A14" i="8"/>
  <c r="A14" i="7"/>
  <c r="G14" i="7"/>
  <c r="B15" i="7"/>
  <c r="G14" i="14"/>
  <c r="B15" i="14"/>
  <c r="A14" i="14"/>
  <c r="G15" i="10"/>
  <c r="B16" i="10"/>
  <c r="A15" i="10"/>
  <c r="AJ15" i="15"/>
  <c r="J15" i="9" s="1"/>
  <c r="AA16" i="15"/>
  <c r="AM15" i="15"/>
  <c r="J15" i="14" s="1"/>
  <c r="AK15" i="15"/>
  <c r="J15" i="10" s="1"/>
  <c r="AH15" i="15"/>
  <c r="J15" i="7" s="1"/>
  <c r="AE15" i="15"/>
  <c r="J15" i="3" s="1"/>
  <c r="AG15" i="15"/>
  <c r="J15" i="6" s="1"/>
  <c r="AD15" i="15"/>
  <c r="J15" i="2" s="1"/>
  <c r="AL15" i="15"/>
  <c r="J15" i="13" s="1"/>
  <c r="AI15" i="15"/>
  <c r="J15" i="8" s="1"/>
  <c r="AF15" i="15"/>
  <c r="J15" i="5" s="1"/>
  <c r="AB15" i="15"/>
  <c r="J15" i="4" s="1"/>
  <c r="AC15" i="15"/>
  <c r="J15" i="1" s="1"/>
  <c r="AE55" i="15"/>
  <c r="AA56" i="15"/>
  <c r="AG55" i="15"/>
  <c r="AH55" i="15"/>
  <c r="AF55" i="15"/>
  <c r="AK55" i="15"/>
  <c r="AI55" i="15"/>
  <c r="AJ55" i="15"/>
  <c r="A16" i="6"/>
  <c r="G16" i="6" s="1"/>
  <c r="B17" i="6"/>
  <c r="B17" i="9"/>
  <c r="G16" i="9"/>
  <c r="A16" i="9"/>
  <c r="B17" i="2"/>
  <c r="G16" i="2"/>
  <c r="A16" i="2"/>
  <c r="B19" i="1"/>
  <c r="G18" i="1"/>
  <c r="A18" i="1"/>
  <c r="A16" i="3"/>
  <c r="G16" i="3" s="1"/>
  <c r="B17" i="3"/>
  <c r="G16" i="13"/>
  <c r="B17" i="13"/>
  <c r="A16" i="13"/>
  <c r="A17" i="5"/>
  <c r="G17" i="5" s="1"/>
  <c r="B18" i="5"/>
  <c r="B16" i="4"/>
  <c r="A15" i="4"/>
  <c r="B16" i="8" l="1"/>
  <c r="A15" i="8"/>
  <c r="G15" i="8"/>
  <c r="B17" i="10"/>
  <c r="G16" i="10"/>
  <c r="A16" i="10"/>
  <c r="B16" i="14"/>
  <c r="G15" i="14"/>
  <c r="A15" i="14"/>
  <c r="B16" i="7"/>
  <c r="A15" i="7"/>
  <c r="G15" i="7"/>
  <c r="A17" i="3"/>
  <c r="G17" i="3" s="1"/>
  <c r="B18" i="3"/>
  <c r="G17" i="2"/>
  <c r="B18" i="2"/>
  <c r="A17" i="2"/>
  <c r="AJ16" i="15"/>
  <c r="J16" i="9" s="1"/>
  <c r="AA17" i="15"/>
  <c r="AI16" i="15"/>
  <c r="J16" i="8" s="1"/>
  <c r="AC16" i="15"/>
  <c r="J16" i="1" s="1"/>
  <c r="AM16" i="15"/>
  <c r="J16" i="14" s="1"/>
  <c r="AK16" i="15"/>
  <c r="J16" i="10" s="1"/>
  <c r="AF16" i="15"/>
  <c r="J16" i="5" s="1"/>
  <c r="AB16" i="15"/>
  <c r="J16" i="4" s="1"/>
  <c r="AG16" i="15"/>
  <c r="J16" i="6" s="1"/>
  <c r="AD16" i="15"/>
  <c r="J16" i="2" s="1"/>
  <c r="AL16" i="15"/>
  <c r="J16" i="13" s="1"/>
  <c r="AH16" i="15"/>
  <c r="J16" i="7" s="1"/>
  <c r="AE16" i="15"/>
  <c r="J16" i="3" s="1"/>
  <c r="G19" i="1"/>
  <c r="B20" i="1"/>
  <c r="A19" i="1"/>
  <c r="B18" i="13"/>
  <c r="G17" i="13"/>
  <c r="A17" i="13"/>
  <c r="B17" i="4"/>
  <c r="A16" i="4"/>
  <c r="B19" i="5"/>
  <c r="A18" i="5"/>
  <c r="G18" i="5" s="1"/>
  <c r="G17" i="9"/>
  <c r="B18" i="9"/>
  <c r="A17" i="9"/>
  <c r="A17" i="6"/>
  <c r="G17" i="6" s="1"/>
  <c r="B18" i="6"/>
  <c r="AA57" i="15"/>
  <c r="AE56" i="15"/>
  <c r="AG56" i="15"/>
  <c r="AH56" i="15"/>
  <c r="AJ56" i="15"/>
  <c r="AK56" i="15"/>
  <c r="AI56" i="15"/>
  <c r="AF56" i="15"/>
  <c r="B17" i="8" l="1"/>
  <c r="G16" i="8"/>
  <c r="A16" i="8"/>
  <c r="G16" i="7"/>
  <c r="B17" i="7"/>
  <c r="A16" i="7"/>
  <c r="B17" i="14"/>
  <c r="A16" i="14"/>
  <c r="G16" i="14"/>
  <c r="G17" i="10"/>
  <c r="B18" i="10"/>
  <c r="A17" i="10"/>
  <c r="AA58" i="15"/>
  <c r="AE57" i="15"/>
  <c r="AG57" i="15"/>
  <c r="AH57" i="15"/>
  <c r="AK57" i="15"/>
  <c r="AI57" i="15"/>
  <c r="AJ57" i="15"/>
  <c r="AF57" i="15"/>
  <c r="A18" i="6"/>
  <c r="G18" i="6" s="1"/>
  <c r="B19" i="6"/>
  <c r="G18" i="9"/>
  <c r="B19" i="9"/>
  <c r="A18" i="9"/>
  <c r="B20" i="5"/>
  <c r="A19" i="5"/>
  <c r="G19" i="5" s="1"/>
  <c r="B21" i="1"/>
  <c r="G20" i="1"/>
  <c r="A20" i="1"/>
  <c r="AJ17" i="15"/>
  <c r="J17" i="9" s="1"/>
  <c r="AA18" i="15"/>
  <c r="AM17" i="15"/>
  <c r="J17" i="14" s="1"/>
  <c r="AK17" i="15"/>
  <c r="J17" i="10" s="1"/>
  <c r="AH17" i="15"/>
  <c r="J17" i="7" s="1"/>
  <c r="AE17" i="15"/>
  <c r="J17" i="3" s="1"/>
  <c r="AC17" i="15"/>
  <c r="J17" i="1" s="1"/>
  <c r="AG17" i="15"/>
  <c r="J17" i="6" s="1"/>
  <c r="AL17" i="15"/>
  <c r="J17" i="13" s="1"/>
  <c r="AI17" i="15"/>
  <c r="J17" i="8" s="1"/>
  <c r="AF17" i="15"/>
  <c r="J17" i="5" s="1"/>
  <c r="AB17" i="15"/>
  <c r="J17" i="4" s="1"/>
  <c r="AD17" i="15"/>
  <c r="J17" i="2" s="1"/>
  <c r="A18" i="3"/>
  <c r="G18" i="3" s="1"/>
  <c r="B19" i="3"/>
  <c r="B18" i="4"/>
  <c r="A17" i="4"/>
  <c r="B19" i="13"/>
  <c r="G18" i="13"/>
  <c r="A18" i="13"/>
  <c r="B19" i="2"/>
  <c r="G18" i="2"/>
  <c r="A18" i="2"/>
  <c r="G17" i="8" l="1"/>
  <c r="B18" i="8"/>
  <c r="A17" i="8"/>
  <c r="G18" i="10"/>
  <c r="A18" i="10"/>
  <c r="B19" i="10"/>
  <c r="A17" i="14"/>
  <c r="G17" i="14"/>
  <c r="B18" i="14"/>
  <c r="G17" i="7"/>
  <c r="A17" i="7"/>
  <c r="B18" i="7"/>
  <c r="B22" i="1"/>
  <c r="G21" i="1"/>
  <c r="A21" i="1"/>
  <c r="B19" i="4"/>
  <c r="A18" i="4"/>
  <c r="B20" i="2"/>
  <c r="G19" i="2"/>
  <c r="A19" i="2"/>
  <c r="AJ18" i="15"/>
  <c r="J18" i="9" s="1"/>
  <c r="AA19" i="15"/>
  <c r="AH18" i="15"/>
  <c r="J18" i="7" s="1"/>
  <c r="AC18" i="15"/>
  <c r="J18" i="1" s="1"/>
  <c r="AD18" i="15"/>
  <c r="J18" i="2" s="1"/>
  <c r="AL18" i="15"/>
  <c r="J18" i="13" s="1"/>
  <c r="AG18" i="15"/>
  <c r="J18" i="6" s="1"/>
  <c r="AE18" i="15"/>
  <c r="J18" i="3" s="1"/>
  <c r="AI18" i="15"/>
  <c r="J18" i="8" s="1"/>
  <c r="AM18" i="15"/>
  <c r="J18" i="14" s="1"/>
  <c r="AK18" i="15"/>
  <c r="J18" i="10" s="1"/>
  <c r="AF18" i="15"/>
  <c r="J18" i="5" s="1"/>
  <c r="AB18" i="15"/>
  <c r="J18" i="4" s="1"/>
  <c r="B20" i="9"/>
  <c r="G19" i="9"/>
  <c r="A19" i="9"/>
  <c r="AE58" i="15"/>
  <c r="AF58" i="15"/>
  <c r="AA59" i="15"/>
  <c r="AD58" i="15"/>
  <c r="AG58" i="15"/>
  <c r="AH58" i="15"/>
  <c r="AJ58" i="15"/>
  <c r="AK58" i="15"/>
  <c r="AI58" i="15"/>
  <c r="G19" i="13"/>
  <c r="B20" i="13"/>
  <c r="A19" i="13"/>
  <c r="A19" i="3"/>
  <c r="G19" i="3" s="1"/>
  <c r="B20" i="3"/>
  <c r="B21" i="5"/>
  <c r="A20" i="5"/>
  <c r="G20" i="5" s="1"/>
  <c r="A19" i="6"/>
  <c r="G19" i="6" s="1"/>
  <c r="B20" i="6"/>
  <c r="A18" i="8" l="1"/>
  <c r="B19" i="8"/>
  <c r="G18" i="8"/>
  <c r="A18" i="7"/>
  <c r="B19" i="7"/>
  <c r="G18" i="7"/>
  <c r="A18" i="14"/>
  <c r="B19" i="14"/>
  <c r="G18" i="14"/>
  <c r="G19" i="10"/>
  <c r="A19" i="10"/>
  <c r="B20" i="10"/>
  <c r="A20" i="3"/>
  <c r="G20" i="3" s="1"/>
  <c r="B21" i="3"/>
  <c r="B21" i="9"/>
  <c r="G20" i="9"/>
  <c r="A20" i="9"/>
  <c r="B23" i="1"/>
  <c r="G22" i="1"/>
  <c r="A22" i="1"/>
  <c r="B20" i="4"/>
  <c r="G19" i="4"/>
  <c r="A19" i="4"/>
  <c r="A20" i="6"/>
  <c r="G20" i="6" s="1"/>
  <c r="B21" i="6"/>
  <c r="B22" i="5"/>
  <c r="A21" i="5"/>
  <c r="G21" i="5" s="1"/>
  <c r="G20" i="13"/>
  <c r="B21" i="13"/>
  <c r="A20" i="13"/>
  <c r="AE59" i="15"/>
  <c r="AF59" i="15"/>
  <c r="AA60" i="15"/>
  <c r="AD59" i="15"/>
  <c r="AG59" i="15"/>
  <c r="AH59" i="15"/>
  <c r="AK59" i="15"/>
  <c r="AI59" i="15"/>
  <c r="AJ59" i="15"/>
  <c r="AJ19" i="15"/>
  <c r="J19" i="9" s="1"/>
  <c r="AA20" i="15"/>
  <c r="AI19" i="15"/>
  <c r="J19" i="8" s="1"/>
  <c r="AG19" i="15"/>
  <c r="J19" i="6" s="1"/>
  <c r="AE19" i="15"/>
  <c r="J19" i="3" s="1"/>
  <c r="AK19" i="15"/>
  <c r="J19" i="10" s="1"/>
  <c r="AD19" i="15"/>
  <c r="J19" i="2" s="1"/>
  <c r="AL19" i="15"/>
  <c r="J19" i="13" s="1"/>
  <c r="AM19" i="15"/>
  <c r="J19" i="14" s="1"/>
  <c r="AB19" i="15"/>
  <c r="J19" i="4" s="1"/>
  <c r="AC19" i="15"/>
  <c r="J19" i="1" s="1"/>
  <c r="AH19" i="15"/>
  <c r="J19" i="7" s="1"/>
  <c r="AF19" i="15"/>
  <c r="J19" i="5" s="1"/>
  <c r="B21" i="2"/>
  <c r="G20" i="2"/>
  <c r="A20" i="2"/>
  <c r="A19" i="8" l="1"/>
  <c r="B20" i="8"/>
  <c r="G19" i="8"/>
  <c r="B21" i="10"/>
  <c r="A20" i="10"/>
  <c r="G20" i="10"/>
  <c r="B20" i="14"/>
  <c r="G19" i="14"/>
  <c r="A19" i="14"/>
  <c r="B20" i="7"/>
  <c r="G19" i="7"/>
  <c r="A19" i="7"/>
  <c r="G21" i="2"/>
  <c r="B22" i="2"/>
  <c r="A21" i="2"/>
  <c r="AJ20" i="15"/>
  <c r="J20" i="9" s="1"/>
  <c r="AA21" i="15"/>
  <c r="AH20" i="15"/>
  <c r="J20" i="7" s="1"/>
  <c r="AL20" i="15"/>
  <c r="J20" i="13" s="1"/>
  <c r="AG20" i="15"/>
  <c r="J20" i="6" s="1"/>
  <c r="AE20" i="15"/>
  <c r="J20" i="3" s="1"/>
  <c r="AI20" i="15"/>
  <c r="J20" i="8" s="1"/>
  <c r="AD20" i="15"/>
  <c r="J20" i="2" s="1"/>
  <c r="AC20" i="15"/>
  <c r="J20" i="1" s="1"/>
  <c r="AK20" i="15"/>
  <c r="J20" i="10" s="1"/>
  <c r="AF20" i="15"/>
  <c r="J20" i="5" s="1"/>
  <c r="AB20" i="15"/>
  <c r="J20" i="4" s="1"/>
  <c r="AM20" i="15"/>
  <c r="J20" i="14" s="1"/>
  <c r="AE60" i="15"/>
  <c r="AF60" i="15"/>
  <c r="AA61" i="15"/>
  <c r="AD60" i="15"/>
  <c r="AG60" i="15"/>
  <c r="AH60" i="15"/>
  <c r="AJ60" i="15"/>
  <c r="AK60" i="15"/>
  <c r="AI60" i="15"/>
  <c r="B22" i="13"/>
  <c r="G21" i="13"/>
  <c r="A21" i="13"/>
  <c r="A22" i="5"/>
  <c r="G22" i="5" s="1"/>
  <c r="B23" i="5"/>
  <c r="G21" i="9"/>
  <c r="B22" i="9"/>
  <c r="A21" i="9"/>
  <c r="G23" i="1"/>
  <c r="B24" i="1"/>
  <c r="A23" i="1"/>
  <c r="A21" i="3"/>
  <c r="G21" i="3" s="1"/>
  <c r="B22" i="3"/>
  <c r="G21" i="6"/>
  <c r="B22" i="6"/>
  <c r="A21" i="6"/>
  <c r="G20" i="4"/>
  <c r="B21" i="4"/>
  <c r="A20" i="4"/>
  <c r="G20" i="8" l="1"/>
  <c r="B21" i="8"/>
  <c r="A20" i="8"/>
  <c r="A20" i="7"/>
  <c r="G20" i="7"/>
  <c r="B21" i="7"/>
  <c r="A20" i="14"/>
  <c r="B21" i="14"/>
  <c r="G20" i="14"/>
  <c r="B22" i="10"/>
  <c r="A21" i="10"/>
  <c r="G21" i="10"/>
  <c r="B25" i="1"/>
  <c r="G24" i="1"/>
  <c r="A24" i="1"/>
  <c r="G22" i="6"/>
  <c r="B23" i="6"/>
  <c r="A22" i="6"/>
  <c r="G22" i="9"/>
  <c r="B23" i="9"/>
  <c r="A22" i="9"/>
  <c r="B24" i="5"/>
  <c r="A23" i="5"/>
  <c r="AD61" i="15"/>
  <c r="AA62" i="15"/>
  <c r="AF61" i="15"/>
  <c r="AE61" i="15"/>
  <c r="AG61" i="15"/>
  <c r="AH61" i="15"/>
  <c r="AK61" i="15"/>
  <c r="AI61" i="15"/>
  <c r="AJ61" i="15"/>
  <c r="B23" i="2"/>
  <c r="G22" i="2"/>
  <c r="A22" i="2"/>
  <c r="B22" i="4"/>
  <c r="G21" i="4"/>
  <c r="A21" i="4"/>
  <c r="A22" i="3"/>
  <c r="G22" i="3" s="1"/>
  <c r="B23" i="3"/>
  <c r="B23" i="13"/>
  <c r="G22" i="13"/>
  <c r="A22" i="13"/>
  <c r="AA22" i="15"/>
  <c r="AL21" i="15"/>
  <c r="J21" i="13" s="1"/>
  <c r="AI21" i="15"/>
  <c r="J21" i="8" s="1"/>
  <c r="AG21" i="15"/>
  <c r="J21" i="6" s="1"/>
  <c r="AE21" i="15"/>
  <c r="J21" i="3" s="1"/>
  <c r="AK21" i="15"/>
  <c r="J21" i="10" s="1"/>
  <c r="AD21" i="15"/>
  <c r="J21" i="2" s="1"/>
  <c r="AH21" i="15"/>
  <c r="J21" i="7" s="1"/>
  <c r="AF21" i="15"/>
  <c r="J21" i="5" s="1"/>
  <c r="AM21" i="15"/>
  <c r="J21" i="14" s="1"/>
  <c r="AB21" i="15"/>
  <c r="J21" i="4" s="1"/>
  <c r="AJ21" i="15"/>
  <c r="J21" i="9" s="1"/>
  <c r="AC21" i="15"/>
  <c r="J21" i="1" s="1"/>
  <c r="G21" i="8" l="1"/>
  <c r="B22" i="8"/>
  <c r="A21" i="8"/>
  <c r="B23" i="10"/>
  <c r="G22" i="10"/>
  <c r="A22" i="10"/>
  <c r="A21" i="14"/>
  <c r="B22" i="14"/>
  <c r="G21" i="14"/>
  <c r="G21" i="7"/>
  <c r="B22" i="7"/>
  <c r="A21" i="7"/>
  <c r="B24" i="9"/>
  <c r="G23" i="9"/>
  <c r="A23" i="9"/>
  <c r="A24" i="5"/>
  <c r="G24" i="5" s="1"/>
  <c r="B25" i="5"/>
  <c r="G23" i="13"/>
  <c r="B24" i="13"/>
  <c r="A23" i="13"/>
  <c r="B24" i="2"/>
  <c r="G23" i="2"/>
  <c r="A23" i="2"/>
  <c r="AA63" i="15"/>
  <c r="AF62" i="15"/>
  <c r="AD62" i="15"/>
  <c r="AE62" i="15"/>
  <c r="AG62" i="15"/>
  <c r="AH62" i="15"/>
  <c r="AJ62" i="15"/>
  <c r="AK62" i="15"/>
  <c r="AI62" i="15"/>
  <c r="AA23" i="15"/>
  <c r="AL22" i="15"/>
  <c r="J22" i="13" s="1"/>
  <c r="AH22" i="15"/>
  <c r="J22" i="7" s="1"/>
  <c r="AE22" i="15"/>
  <c r="J22" i="3" s="1"/>
  <c r="AJ22" i="15"/>
  <c r="J22" i="9" s="1"/>
  <c r="AG22" i="15"/>
  <c r="J22" i="6" s="1"/>
  <c r="AD22" i="15"/>
  <c r="J22" i="2" s="1"/>
  <c r="AM22" i="15"/>
  <c r="J22" i="14" s="1"/>
  <c r="AF22" i="15"/>
  <c r="J22" i="5" s="1"/>
  <c r="AI22" i="15"/>
  <c r="J22" i="8" s="1"/>
  <c r="AK22" i="15"/>
  <c r="J22" i="10" s="1"/>
  <c r="AB22" i="15"/>
  <c r="J22" i="4" s="1"/>
  <c r="AC22" i="15"/>
  <c r="J22" i="1" s="1"/>
  <c r="A23" i="3"/>
  <c r="G23" i="3" s="1"/>
  <c r="B24" i="3"/>
  <c r="G22" i="4"/>
  <c r="B23" i="4"/>
  <c r="A22" i="4"/>
  <c r="B24" i="6"/>
  <c r="G23" i="6"/>
  <c r="A23" i="6"/>
  <c r="B26" i="1"/>
  <c r="G25" i="1"/>
  <c r="A25" i="1"/>
  <c r="G22" i="8" l="1"/>
  <c r="A22" i="8"/>
  <c r="B23" i="8"/>
  <c r="G22" i="7"/>
  <c r="B23" i="7"/>
  <c r="A22" i="7"/>
  <c r="A22" i="14"/>
  <c r="B23" i="14"/>
  <c r="G22" i="14"/>
  <c r="G23" i="10"/>
  <c r="B24" i="10"/>
  <c r="A23" i="10"/>
  <c r="B27" i="1"/>
  <c r="G26" i="1"/>
  <c r="A26" i="1"/>
  <c r="B24" i="4"/>
  <c r="G23" i="4"/>
  <c r="A23" i="4"/>
  <c r="A24" i="2"/>
  <c r="G24" i="2" s="1"/>
  <c r="B25" i="2"/>
  <c r="AA24" i="15"/>
  <c r="AL23" i="15"/>
  <c r="J23" i="13" s="1"/>
  <c r="AI23" i="15"/>
  <c r="J23" i="8" s="1"/>
  <c r="AB23" i="15"/>
  <c r="J23" i="4" s="1"/>
  <c r="AC23" i="15"/>
  <c r="J23" i="1" s="1"/>
  <c r="AG23" i="15"/>
  <c r="J23" i="6" s="1"/>
  <c r="AF23" i="15"/>
  <c r="J23" i="5" s="1"/>
  <c r="AM23" i="15"/>
  <c r="J23" i="14" s="1"/>
  <c r="AH23" i="15"/>
  <c r="J23" i="7" s="1"/>
  <c r="AK23" i="15"/>
  <c r="J23" i="10" s="1"/>
  <c r="AJ23" i="15"/>
  <c r="J23" i="9" s="1"/>
  <c r="AE23" i="15"/>
  <c r="J23" i="3" s="1"/>
  <c r="AD23" i="15"/>
  <c r="J23" i="2" s="1"/>
  <c r="AA64" i="15"/>
  <c r="AF63" i="15"/>
  <c r="AD63" i="15"/>
  <c r="AG63" i="15"/>
  <c r="AH63" i="15"/>
  <c r="AK63" i="15"/>
  <c r="AI63" i="15"/>
  <c r="AJ63" i="15"/>
  <c r="AE63" i="15"/>
  <c r="A25" i="5"/>
  <c r="G25" i="5" s="1"/>
  <c r="B26" i="5"/>
  <c r="B25" i="9"/>
  <c r="G24" i="9"/>
  <c r="A24" i="9"/>
  <c r="G24" i="13"/>
  <c r="B25" i="13"/>
  <c r="A24" i="13"/>
  <c r="G24" i="6"/>
  <c r="B25" i="6"/>
  <c r="A24" i="6"/>
  <c r="A24" i="3"/>
  <c r="G24" i="3" s="1"/>
  <c r="B25" i="3"/>
  <c r="G23" i="8" l="1"/>
  <c r="B24" i="8"/>
  <c r="A23" i="8"/>
  <c r="B25" i="10"/>
  <c r="G24" i="10"/>
  <c r="A24" i="10"/>
  <c r="A23" i="14"/>
  <c r="B24" i="14"/>
  <c r="G23" i="14"/>
  <c r="B24" i="7"/>
  <c r="G23" i="7"/>
  <c r="A23" i="7"/>
  <c r="G24" i="4"/>
  <c r="B25" i="4"/>
  <c r="A24" i="4"/>
  <c r="G25" i="9"/>
  <c r="B26" i="9"/>
  <c r="A25" i="9"/>
  <c r="AA65" i="15"/>
  <c r="AF64" i="15"/>
  <c r="AD64" i="15"/>
  <c r="AG64" i="15"/>
  <c r="AH64" i="15"/>
  <c r="AJ64" i="15"/>
  <c r="AK64" i="15"/>
  <c r="AI64" i="15"/>
  <c r="AE64" i="15"/>
  <c r="B26" i="13"/>
  <c r="G25" i="13"/>
  <c r="A25" i="13"/>
  <c r="AA25" i="15"/>
  <c r="AL24" i="15"/>
  <c r="J24" i="13" s="1"/>
  <c r="AH24" i="15"/>
  <c r="J24" i="7" s="1"/>
  <c r="AF24" i="15"/>
  <c r="J24" i="5" s="1"/>
  <c r="AB24" i="15"/>
  <c r="J24" i="4" s="1"/>
  <c r="AI24" i="15"/>
  <c r="J24" i="8" s="1"/>
  <c r="AD24" i="15"/>
  <c r="J24" i="2" s="1"/>
  <c r="AC24" i="15"/>
  <c r="J24" i="1" s="1"/>
  <c r="AM24" i="15"/>
  <c r="J24" i="14" s="1"/>
  <c r="AG24" i="15"/>
  <c r="J24" i="6" s="1"/>
  <c r="AJ24" i="15"/>
  <c r="J24" i="9" s="1"/>
  <c r="AK24" i="15"/>
  <c r="J24" i="10" s="1"/>
  <c r="AE24" i="15"/>
  <c r="J24" i="3" s="1"/>
  <c r="A25" i="3"/>
  <c r="G25" i="3" s="1"/>
  <c r="B26" i="3"/>
  <c r="G25" i="6"/>
  <c r="B26" i="6"/>
  <c r="A25" i="6"/>
  <c r="A26" i="5"/>
  <c r="G26" i="5" s="1"/>
  <c r="B27" i="5"/>
  <c r="A25" i="2"/>
  <c r="G25" i="2" s="1"/>
  <c r="B26" i="2"/>
  <c r="G27" i="1"/>
  <c r="B28" i="1"/>
  <c r="A27" i="1"/>
  <c r="G24" i="8" l="1"/>
  <c r="B25" i="8"/>
  <c r="A24" i="8"/>
  <c r="A24" i="7"/>
  <c r="G24" i="7"/>
  <c r="B25" i="7"/>
  <c r="B25" i="14"/>
  <c r="G24" i="14"/>
  <c r="A24" i="14"/>
  <c r="G25" i="10"/>
  <c r="A25" i="10"/>
  <c r="B26" i="10"/>
  <c r="B29" i="1"/>
  <c r="G28" i="1"/>
  <c r="A28" i="1"/>
  <c r="G26" i="6"/>
  <c r="B27" i="6"/>
  <c r="A26" i="6"/>
  <c r="B27" i="13"/>
  <c r="G26" i="13"/>
  <c r="A26" i="13"/>
  <c r="A27" i="5"/>
  <c r="G27" i="5" s="1"/>
  <c r="B28" i="5"/>
  <c r="AD65" i="15"/>
  <c r="AA66" i="15"/>
  <c r="AF65" i="15"/>
  <c r="AG65" i="15"/>
  <c r="AH65" i="15"/>
  <c r="AK65" i="15"/>
  <c r="AI65" i="15"/>
  <c r="AJ65" i="15"/>
  <c r="AE65" i="15"/>
  <c r="B27" i="2"/>
  <c r="A26" i="2"/>
  <c r="G26" i="2" s="1"/>
  <c r="A26" i="3"/>
  <c r="G26" i="3" s="1"/>
  <c r="B27" i="3"/>
  <c r="AA26" i="15"/>
  <c r="AI25" i="15"/>
  <c r="J25" i="8" s="1"/>
  <c r="AF25" i="15"/>
  <c r="J25" i="5" s="1"/>
  <c r="AL25" i="15"/>
  <c r="J25" i="13" s="1"/>
  <c r="AH25" i="15"/>
  <c r="J25" i="7" s="1"/>
  <c r="AK25" i="15"/>
  <c r="J25" i="10" s="1"/>
  <c r="AD25" i="15"/>
  <c r="J25" i="2" s="1"/>
  <c r="AJ25" i="15"/>
  <c r="J25" i="9" s="1"/>
  <c r="AE25" i="15"/>
  <c r="J25" i="3" s="1"/>
  <c r="AC25" i="15"/>
  <c r="J25" i="1" s="1"/>
  <c r="AM25" i="15"/>
  <c r="J25" i="14" s="1"/>
  <c r="AG25" i="15"/>
  <c r="J25" i="6" s="1"/>
  <c r="AB25" i="15"/>
  <c r="J25" i="4" s="1"/>
  <c r="B26" i="4"/>
  <c r="G25" i="4"/>
  <c r="A25" i="4"/>
  <c r="G26" i="9"/>
  <c r="B27" i="9"/>
  <c r="A26" i="9"/>
  <c r="G25" i="8" l="1"/>
  <c r="B26" i="8"/>
  <c r="A25" i="8"/>
  <c r="B27" i="10"/>
  <c r="G26" i="10"/>
  <c r="A26" i="10"/>
  <c r="A25" i="14"/>
  <c r="B26" i="14"/>
  <c r="G25" i="14"/>
  <c r="B26" i="7"/>
  <c r="A25" i="7"/>
  <c r="G25" i="7"/>
  <c r="B28" i="2"/>
  <c r="A27" i="2"/>
  <c r="G27" i="2" s="1"/>
  <c r="G26" i="4"/>
  <c r="B27" i="4"/>
  <c r="A26" i="4"/>
  <c r="B28" i="3"/>
  <c r="A27" i="3"/>
  <c r="G27" i="3" s="1"/>
  <c r="AA67" i="15"/>
  <c r="AD66" i="15"/>
  <c r="AF66" i="15"/>
  <c r="AE66" i="15"/>
  <c r="AG66" i="15"/>
  <c r="AH66" i="15"/>
  <c r="AJ66" i="15"/>
  <c r="AK66" i="15"/>
  <c r="AI66" i="15"/>
  <c r="A28" i="5"/>
  <c r="G28" i="5" s="1"/>
  <c r="B29" i="5"/>
  <c r="G27" i="13"/>
  <c r="B28" i="13"/>
  <c r="A27" i="13"/>
  <c r="B28" i="9"/>
  <c r="G27" i="9"/>
  <c r="A27" i="9"/>
  <c r="AA27" i="15"/>
  <c r="AL26" i="15"/>
  <c r="J26" i="13" s="1"/>
  <c r="AH26" i="15"/>
  <c r="J26" i="7" s="1"/>
  <c r="AF26" i="15"/>
  <c r="J26" i="5" s="1"/>
  <c r="AB26" i="15"/>
  <c r="J26" i="4" s="1"/>
  <c r="AI26" i="15"/>
  <c r="J26" i="8" s="1"/>
  <c r="AD26" i="15"/>
  <c r="J26" i="2" s="1"/>
  <c r="AK26" i="15"/>
  <c r="J26" i="10" s="1"/>
  <c r="AC26" i="15"/>
  <c r="J26" i="1" s="1"/>
  <c r="AM26" i="15"/>
  <c r="J26" i="14" s="1"/>
  <c r="AJ26" i="15"/>
  <c r="J26" i="9" s="1"/>
  <c r="AE26" i="15"/>
  <c r="J26" i="3" s="1"/>
  <c r="AG26" i="15"/>
  <c r="J26" i="6" s="1"/>
  <c r="B28" i="6"/>
  <c r="G27" i="6"/>
  <c r="A27" i="6"/>
  <c r="B30" i="1"/>
  <c r="G29" i="1"/>
  <c r="A29" i="1"/>
  <c r="B27" i="8" l="1"/>
  <c r="G26" i="8"/>
  <c r="A26" i="8"/>
  <c r="A26" i="7"/>
  <c r="B27" i="7"/>
  <c r="G26" i="7"/>
  <c r="B27" i="14"/>
  <c r="G26" i="14"/>
  <c r="A26" i="14"/>
  <c r="A27" i="10"/>
  <c r="B28" i="10"/>
  <c r="G27" i="10"/>
  <c r="B28" i="4"/>
  <c r="G27" i="4"/>
  <c r="A27" i="4"/>
  <c r="B31" i="1"/>
  <c r="G30" i="1"/>
  <c r="A30" i="1"/>
  <c r="B29" i="9"/>
  <c r="G28" i="9"/>
  <c r="A28" i="9"/>
  <c r="A29" i="5"/>
  <c r="G29" i="5" s="1"/>
  <c r="B30" i="5"/>
  <c r="B29" i="3"/>
  <c r="A28" i="3"/>
  <c r="G28" i="3" s="1"/>
  <c r="G28" i="6"/>
  <c r="B29" i="6"/>
  <c r="A28" i="6"/>
  <c r="AA28" i="15"/>
  <c r="AM27" i="15"/>
  <c r="J27" i="14" s="1"/>
  <c r="AG27" i="15"/>
  <c r="J27" i="6" s="1"/>
  <c r="AB27" i="15"/>
  <c r="J27" i="4" s="1"/>
  <c r="AI27" i="15"/>
  <c r="J27" i="8" s="1"/>
  <c r="AF27" i="15"/>
  <c r="J27" i="5" s="1"/>
  <c r="AD27" i="15"/>
  <c r="J27" i="2" s="1"/>
  <c r="AL27" i="15"/>
  <c r="J27" i="13" s="1"/>
  <c r="AH27" i="15"/>
  <c r="J27" i="7" s="1"/>
  <c r="AK27" i="15"/>
  <c r="J27" i="10" s="1"/>
  <c r="AJ27" i="15"/>
  <c r="J27" i="9" s="1"/>
  <c r="AE27" i="15"/>
  <c r="J27" i="3" s="1"/>
  <c r="AC27" i="15"/>
  <c r="J27" i="1" s="1"/>
  <c r="G28" i="13"/>
  <c r="B29" i="13"/>
  <c r="A28" i="13"/>
  <c r="AA68" i="15"/>
  <c r="AD67" i="15"/>
  <c r="AE67" i="15"/>
  <c r="AF67" i="15"/>
  <c r="AG67" i="15"/>
  <c r="AH67" i="15"/>
  <c r="AK67" i="15"/>
  <c r="AI67" i="15"/>
  <c r="AJ67" i="15"/>
  <c r="B29" i="2"/>
  <c r="A28" i="2"/>
  <c r="G28" i="2" s="1"/>
  <c r="A27" i="8" l="1"/>
  <c r="B28" i="8"/>
  <c r="G27" i="8"/>
  <c r="A28" i="10"/>
  <c r="B29" i="10"/>
  <c r="G28" i="10"/>
  <c r="B28" i="14"/>
  <c r="A27" i="14"/>
  <c r="G27" i="14"/>
  <c r="B28" i="7"/>
  <c r="G27" i="7"/>
  <c r="A27" i="7"/>
  <c r="A29" i="2"/>
  <c r="G29" i="2" s="1"/>
  <c r="B30" i="2"/>
  <c r="AA69" i="15"/>
  <c r="AD68" i="15"/>
  <c r="AF68" i="15"/>
  <c r="AG68" i="15"/>
  <c r="AH68" i="15"/>
  <c r="AJ68" i="15"/>
  <c r="AK68" i="15"/>
  <c r="AI68" i="15"/>
  <c r="AE68" i="15"/>
  <c r="AA29" i="15"/>
  <c r="AD28" i="15"/>
  <c r="J28" i="2" s="1"/>
  <c r="AM28" i="15"/>
  <c r="J28" i="14" s="1"/>
  <c r="AH28" i="15"/>
  <c r="J28" i="7" s="1"/>
  <c r="AJ28" i="15"/>
  <c r="J28" i="9" s="1"/>
  <c r="AL28" i="15"/>
  <c r="J28" i="13" s="1"/>
  <c r="AE28" i="15"/>
  <c r="J28" i="3" s="1"/>
  <c r="AI28" i="15"/>
  <c r="J28" i="8" s="1"/>
  <c r="AG28" i="15"/>
  <c r="J28" i="6" s="1"/>
  <c r="AB28" i="15"/>
  <c r="J28" i="4" s="1"/>
  <c r="AK28" i="15"/>
  <c r="J28" i="10" s="1"/>
  <c r="AF28" i="15"/>
  <c r="J28" i="5" s="1"/>
  <c r="AC28" i="15"/>
  <c r="J28" i="1" s="1"/>
  <c r="G31" i="1"/>
  <c r="B32" i="1"/>
  <c r="A31" i="1"/>
  <c r="B30" i="3"/>
  <c r="A29" i="3"/>
  <c r="G29" i="3" s="1"/>
  <c r="G29" i="9"/>
  <c r="B30" i="9"/>
  <c r="A29" i="9"/>
  <c r="B30" i="13"/>
  <c r="G29" i="13"/>
  <c r="A29" i="13"/>
  <c r="G29" i="6"/>
  <c r="B30" i="6"/>
  <c r="A29" i="6"/>
  <c r="A30" i="5"/>
  <c r="G30" i="5" s="1"/>
  <c r="B31" i="5"/>
  <c r="G28" i="4"/>
  <c r="B29" i="4"/>
  <c r="A28" i="4"/>
  <c r="G28" i="8" l="1"/>
  <c r="A28" i="8"/>
  <c r="B29" i="8"/>
  <c r="G28" i="7"/>
  <c r="A28" i="7"/>
  <c r="B29" i="7"/>
  <c r="B29" i="14"/>
  <c r="G28" i="14"/>
  <c r="A28" i="14"/>
  <c r="B30" i="10"/>
  <c r="A29" i="10"/>
  <c r="G29" i="10"/>
  <c r="B30" i="4"/>
  <c r="G29" i="4"/>
  <c r="A29" i="4"/>
  <c r="AD69" i="15"/>
  <c r="AA70" i="15"/>
  <c r="AF69" i="15"/>
  <c r="AG69" i="15"/>
  <c r="AH69" i="15"/>
  <c r="AK69" i="15"/>
  <c r="AI69" i="15"/>
  <c r="AJ69" i="15"/>
  <c r="AE69" i="15"/>
  <c r="G30" i="6"/>
  <c r="B31" i="6"/>
  <c r="A30" i="6"/>
  <c r="B31" i="13"/>
  <c r="G30" i="13"/>
  <c r="A30" i="13"/>
  <c r="B31" i="3"/>
  <c r="A30" i="3"/>
  <c r="G30" i="3" s="1"/>
  <c r="A30" i="2"/>
  <c r="G30" i="2" s="1"/>
  <c r="B31" i="2"/>
  <c r="A31" i="5"/>
  <c r="G31" i="5" s="1"/>
  <c r="B32" i="5"/>
  <c r="G30" i="9"/>
  <c r="B31" i="9"/>
  <c r="A30" i="9"/>
  <c r="B33" i="1"/>
  <c r="G32" i="1"/>
  <c r="A32" i="1"/>
  <c r="AA30" i="15"/>
  <c r="AM29" i="15"/>
  <c r="J29" i="14" s="1"/>
  <c r="AI29" i="15"/>
  <c r="J29" i="8" s="1"/>
  <c r="AK29" i="15"/>
  <c r="J29" i="10" s="1"/>
  <c r="AD29" i="15"/>
  <c r="J29" i="2" s="1"/>
  <c r="AL29" i="15"/>
  <c r="J29" i="13" s="1"/>
  <c r="AE29" i="15"/>
  <c r="J29" i="3" s="1"/>
  <c r="AG29" i="15"/>
  <c r="J29" i="6" s="1"/>
  <c r="AH29" i="15"/>
  <c r="J29" i="7" s="1"/>
  <c r="AB29" i="15"/>
  <c r="J29" i="4" s="1"/>
  <c r="AJ29" i="15"/>
  <c r="J29" i="9" s="1"/>
  <c r="AF29" i="15"/>
  <c r="J29" i="5" s="1"/>
  <c r="AC29" i="15"/>
  <c r="J29" i="1" s="1"/>
  <c r="G29" i="8" l="1"/>
  <c r="B30" i="8"/>
  <c r="A29" i="8"/>
  <c r="G30" i="10"/>
  <c r="B31" i="10"/>
  <c r="A30" i="10"/>
  <c r="B30" i="14"/>
  <c r="G29" i="14"/>
  <c r="A29" i="14"/>
  <c r="G29" i="7"/>
  <c r="B30" i="7"/>
  <c r="A29" i="7"/>
  <c r="A31" i="2"/>
  <c r="G31" i="2" s="1"/>
  <c r="B32" i="2"/>
  <c r="B32" i="6"/>
  <c r="G31" i="6"/>
  <c r="A31" i="6"/>
  <c r="AD70" i="15"/>
  <c r="AF70" i="15"/>
  <c r="AE70" i="15"/>
  <c r="AA71" i="15"/>
  <c r="AG70" i="15"/>
  <c r="AH70" i="15"/>
  <c r="AJ70" i="15"/>
  <c r="AK70" i="15"/>
  <c r="AI70" i="15"/>
  <c r="B34" i="1"/>
  <c r="G33" i="1"/>
  <c r="A33" i="1"/>
  <c r="A32" i="5"/>
  <c r="G32" i="5" s="1"/>
  <c r="B33" i="5"/>
  <c r="G31" i="13"/>
  <c r="B32" i="13"/>
  <c r="A31" i="13"/>
  <c r="AA31" i="15"/>
  <c r="AI30" i="15"/>
  <c r="J30" i="8" s="1"/>
  <c r="AE30" i="15"/>
  <c r="J30" i="3" s="1"/>
  <c r="AD30" i="15"/>
  <c r="J30" i="2" s="1"/>
  <c r="AL30" i="15"/>
  <c r="J30" i="13" s="1"/>
  <c r="AH30" i="15"/>
  <c r="J30" i="7" s="1"/>
  <c r="AG30" i="15"/>
  <c r="J30" i="6" s="1"/>
  <c r="AK30" i="15"/>
  <c r="J30" i="10" s="1"/>
  <c r="AB30" i="15"/>
  <c r="J30" i="4" s="1"/>
  <c r="AC30" i="15"/>
  <c r="J30" i="1" s="1"/>
  <c r="AM30" i="15"/>
  <c r="J30" i="14" s="1"/>
  <c r="AF30" i="15"/>
  <c r="J30" i="5" s="1"/>
  <c r="AJ30" i="15"/>
  <c r="J30" i="9" s="1"/>
  <c r="B32" i="9"/>
  <c r="G31" i="9"/>
  <c r="A31" i="9"/>
  <c r="B32" i="3"/>
  <c r="A31" i="3"/>
  <c r="G31" i="3" s="1"/>
  <c r="G30" i="4"/>
  <c r="B31" i="4"/>
  <c r="A30" i="4"/>
  <c r="A30" i="8" l="1"/>
  <c r="B31" i="8"/>
  <c r="G30" i="8"/>
  <c r="G30" i="7"/>
  <c r="B31" i="7"/>
  <c r="A30" i="7"/>
  <c r="G30" i="14"/>
  <c r="A30" i="14"/>
  <c r="B31" i="14"/>
  <c r="A31" i="10"/>
  <c r="B32" i="10"/>
  <c r="G31" i="10"/>
  <c r="A33" i="5"/>
  <c r="G33" i="5" s="1"/>
  <c r="B34" i="5"/>
  <c r="B35" i="1"/>
  <c r="G34" i="1"/>
  <c r="A34" i="1"/>
  <c r="AD71" i="15"/>
  <c r="AF71" i="15"/>
  <c r="AH71" i="15"/>
  <c r="AK71" i="15"/>
  <c r="AI71" i="15"/>
  <c r="AJ71" i="15"/>
  <c r="AG71" i="15"/>
  <c r="AE71" i="15"/>
  <c r="G32" i="13"/>
  <c r="B33" i="13"/>
  <c r="A32" i="13"/>
  <c r="G32" i="6"/>
  <c r="B33" i="6"/>
  <c r="A32" i="6"/>
  <c r="A32" i="2"/>
  <c r="G32" i="2" s="1"/>
  <c r="B33" i="2"/>
  <c r="B33" i="9"/>
  <c r="G32" i="9"/>
  <c r="A32" i="9"/>
  <c r="B32" i="4"/>
  <c r="G31" i="4"/>
  <c r="A31" i="4"/>
  <c r="B33" i="3"/>
  <c r="A32" i="3"/>
  <c r="G32" i="3" s="1"/>
  <c r="AA32" i="15"/>
  <c r="AI31" i="15"/>
  <c r="J31" i="8" s="1"/>
  <c r="AH31" i="15"/>
  <c r="J31" i="7" s="1"/>
  <c r="AE31" i="15"/>
  <c r="J31" i="3" s="1"/>
  <c r="AK31" i="15"/>
  <c r="J31" i="10" s="1"/>
  <c r="AC31" i="15"/>
  <c r="J31" i="1" s="1"/>
  <c r="AG31" i="15"/>
  <c r="J31" i="6" s="1"/>
  <c r="AL31" i="15"/>
  <c r="J31" i="13" s="1"/>
  <c r="AB31" i="15"/>
  <c r="J31" i="4" s="1"/>
  <c r="AJ31" i="15"/>
  <c r="J31" i="9" s="1"/>
  <c r="AF31" i="15"/>
  <c r="J31" i="5" s="1"/>
  <c r="AM31" i="15"/>
  <c r="J31" i="14" s="1"/>
  <c r="AD31" i="15"/>
  <c r="J31" i="2" s="1"/>
  <c r="B32" i="8" l="1"/>
  <c r="G31" i="8"/>
  <c r="A31" i="8"/>
  <c r="G32" i="10"/>
  <c r="B33" i="10"/>
  <c r="A32" i="10"/>
  <c r="B32" i="14"/>
  <c r="A31" i="14"/>
  <c r="B32" i="7"/>
  <c r="A31" i="7"/>
  <c r="G31" i="7"/>
  <c r="G32" i="4"/>
  <c r="B33" i="4"/>
  <c r="A32" i="4"/>
  <c r="A33" i="2"/>
  <c r="G33" i="2" s="1"/>
  <c r="B34" i="2"/>
  <c r="G33" i="6"/>
  <c r="B34" i="6"/>
  <c r="A33" i="6"/>
  <c r="H35" i="1"/>
  <c r="G35" i="1"/>
  <c r="E39" i="1" s="1"/>
  <c r="B34" i="3"/>
  <c r="A33" i="3"/>
  <c r="G33" i="3" s="1"/>
  <c r="B34" i="13"/>
  <c r="G33" i="13"/>
  <c r="A33" i="13"/>
  <c r="AI32" i="15"/>
  <c r="J32" i="8" s="1"/>
  <c r="AA33" i="15"/>
  <c r="AH32" i="15"/>
  <c r="J32" i="7" s="1"/>
  <c r="AE32" i="15"/>
  <c r="J32" i="3" s="1"/>
  <c r="AJ32" i="15"/>
  <c r="J32" i="9" s="1"/>
  <c r="AC32" i="15"/>
  <c r="J32" i="1" s="1"/>
  <c r="AG32" i="15"/>
  <c r="J32" i="6" s="1"/>
  <c r="AL32" i="15"/>
  <c r="J32" i="13" s="1"/>
  <c r="AB32" i="15"/>
  <c r="J32" i="4" s="1"/>
  <c r="AK32" i="15"/>
  <c r="J32" i="10" s="1"/>
  <c r="AF32" i="15"/>
  <c r="J32" i="5" s="1"/>
  <c r="AM32" i="15"/>
  <c r="J32" i="14" s="1"/>
  <c r="AD32" i="15"/>
  <c r="J32" i="2" s="1"/>
  <c r="A34" i="5"/>
  <c r="G34" i="5" s="1"/>
  <c r="B35" i="5"/>
  <c r="G33" i="9"/>
  <c r="B34" i="9"/>
  <c r="A33" i="9"/>
  <c r="G32" i="8" l="1"/>
  <c r="B33" i="8"/>
  <c r="A32" i="8"/>
  <c r="G32" i="7"/>
  <c r="B33" i="7"/>
  <c r="A32" i="7"/>
  <c r="A32" i="14"/>
  <c r="B33" i="14"/>
  <c r="G33" i="10"/>
  <c r="B34" i="10"/>
  <c r="A33" i="10"/>
  <c r="B35" i="2"/>
  <c r="A34" i="2"/>
  <c r="G34" i="2" s="1"/>
  <c r="G34" i="6"/>
  <c r="B35" i="6"/>
  <c r="A34" i="6"/>
  <c r="B35" i="3"/>
  <c r="A34" i="3"/>
  <c r="G34" i="3" s="1"/>
  <c r="G34" i="9"/>
  <c r="B35" i="9"/>
  <c r="A34" i="9"/>
  <c r="A35" i="5"/>
  <c r="G35" i="5" s="1"/>
  <c r="B36" i="5"/>
  <c r="AI33" i="15"/>
  <c r="J33" i="8" s="1"/>
  <c r="AA34" i="15"/>
  <c r="AM33" i="15"/>
  <c r="J33" i="14" s="1"/>
  <c r="AJ33" i="15"/>
  <c r="J33" i="9" s="1"/>
  <c r="AE33" i="15"/>
  <c r="J33" i="3" s="1"/>
  <c r="AG33" i="15"/>
  <c r="J33" i="6" s="1"/>
  <c r="AL33" i="15"/>
  <c r="J33" i="13" s="1"/>
  <c r="AH33" i="15"/>
  <c r="J33" i="7" s="1"/>
  <c r="AB33" i="15"/>
  <c r="J33" i="4" s="1"/>
  <c r="AF33" i="15"/>
  <c r="J33" i="5" s="1"/>
  <c r="AC33" i="15"/>
  <c r="J33" i="1" s="1"/>
  <c r="AK33" i="15"/>
  <c r="J33" i="10" s="1"/>
  <c r="AD33" i="15"/>
  <c r="J33" i="2" s="1"/>
  <c r="B35" i="13"/>
  <c r="G34" i="13"/>
  <c r="A34" i="13"/>
  <c r="F39" i="1"/>
  <c r="G39" i="1" s="1"/>
  <c r="B34" i="4"/>
  <c r="G33" i="4"/>
  <c r="A33" i="4"/>
  <c r="B34" i="8" l="1"/>
  <c r="A33" i="8"/>
  <c r="G33" i="8"/>
  <c r="B35" i="10"/>
  <c r="G34" i="10"/>
  <c r="A34" i="10"/>
  <c r="G33" i="14"/>
  <c r="A33" i="14"/>
  <c r="B34" i="14"/>
  <c r="G33" i="7"/>
  <c r="B34" i="7"/>
  <c r="A33" i="7"/>
  <c r="G34" i="4"/>
  <c r="B35" i="4"/>
  <c r="A34" i="4"/>
  <c r="A36" i="5"/>
  <c r="G36" i="5" s="1"/>
  <c r="B37" i="5"/>
  <c r="G35" i="13"/>
  <c r="B36" i="13"/>
  <c r="A35" i="13"/>
  <c r="AD34" i="15"/>
  <c r="J34" i="2" s="1"/>
  <c r="AI34" i="15"/>
  <c r="J34" i="8" s="1"/>
  <c r="AA35" i="15"/>
  <c r="AE34" i="15"/>
  <c r="J34" i="3" s="1"/>
  <c r="AL34" i="15"/>
  <c r="J34" i="13" s="1"/>
  <c r="AJ34" i="15"/>
  <c r="J34" i="9" s="1"/>
  <c r="AC34" i="15"/>
  <c r="J34" i="1" s="1"/>
  <c r="AH34" i="15"/>
  <c r="J34" i="7" s="1"/>
  <c r="AB34" i="15"/>
  <c r="J34" i="4" s="1"/>
  <c r="AK34" i="15"/>
  <c r="J34" i="10" s="1"/>
  <c r="AF34" i="15"/>
  <c r="J34" i="5" s="1"/>
  <c r="AM34" i="15"/>
  <c r="J34" i="14" s="1"/>
  <c r="AG34" i="15"/>
  <c r="J34" i="6" s="1"/>
  <c r="B36" i="9"/>
  <c r="G35" i="9"/>
  <c r="A35" i="9"/>
  <c r="B36" i="3"/>
  <c r="A35" i="3"/>
  <c r="G35" i="3" s="1"/>
  <c r="B36" i="2"/>
  <c r="A35" i="2"/>
  <c r="G35" i="2" s="1"/>
  <c r="B36" i="6"/>
  <c r="G35" i="6"/>
  <c r="A35" i="6"/>
  <c r="B35" i="8" l="1"/>
  <c r="G34" i="8"/>
  <c r="A34" i="8"/>
  <c r="A34" i="7"/>
  <c r="G34" i="7"/>
  <c r="B35" i="7"/>
  <c r="A34" i="14"/>
  <c r="B35" i="14"/>
  <c r="G34" i="14"/>
  <c r="B36" i="10"/>
  <c r="G35" i="10"/>
  <c r="A35" i="10"/>
  <c r="B37" i="2"/>
  <c r="A36" i="2"/>
  <c r="G36" i="2" s="1"/>
  <c r="A36" i="3"/>
  <c r="G36" i="3" s="1"/>
  <c r="E40" i="3" s="1"/>
  <c r="AI35" i="15"/>
  <c r="J35" i="8" s="1"/>
  <c r="AA36" i="15"/>
  <c r="AE35" i="15"/>
  <c r="J35" i="3" s="1"/>
  <c r="AD35" i="15"/>
  <c r="J35" i="2" s="1"/>
  <c r="AC35" i="15"/>
  <c r="J35" i="1" s="1"/>
  <c r="AH35" i="15"/>
  <c r="J35" i="7" s="1"/>
  <c r="AL35" i="15"/>
  <c r="J35" i="13" s="1"/>
  <c r="AJ35" i="15"/>
  <c r="J35" i="9" s="1"/>
  <c r="AF35" i="15"/>
  <c r="J35" i="5" s="1"/>
  <c r="AK35" i="15"/>
  <c r="J35" i="10" s="1"/>
  <c r="AM35" i="15"/>
  <c r="J35" i="14" s="1"/>
  <c r="AG35" i="15"/>
  <c r="J35" i="6" s="1"/>
  <c r="AB35" i="15"/>
  <c r="J35" i="4" s="1"/>
  <c r="G36" i="13"/>
  <c r="E40" i="13" s="1"/>
  <c r="A36" i="13"/>
  <c r="B36" i="4"/>
  <c r="G35" i="4"/>
  <c r="A35" i="4"/>
  <c r="G36" i="6"/>
  <c r="E40" i="6" s="1"/>
  <c r="A36" i="6"/>
  <c r="G36" i="9"/>
  <c r="E40" i="9" s="1"/>
  <c r="A36" i="9"/>
  <c r="A37" i="5"/>
  <c r="G37" i="5" s="1"/>
  <c r="E41" i="5" s="1"/>
  <c r="B36" i="8" l="1"/>
  <c r="G35" i="8"/>
  <c r="A35" i="8"/>
  <c r="A36" i="10"/>
  <c r="G36" i="10"/>
  <c r="B37" i="10"/>
  <c r="B36" i="14"/>
  <c r="A35" i="14"/>
  <c r="G35" i="14"/>
  <c r="A35" i="7"/>
  <c r="G35" i="7"/>
  <c r="B36" i="7"/>
  <c r="F40" i="3"/>
  <c r="G40" i="3" s="1"/>
  <c r="G36" i="4"/>
  <c r="B37" i="4"/>
  <c r="A36" i="4"/>
  <c r="F40" i="13"/>
  <c r="G40" i="13"/>
  <c r="AI36" i="15"/>
  <c r="J36" i="8" s="1"/>
  <c r="AA37" i="15"/>
  <c r="AM36" i="15"/>
  <c r="J36" i="14" s="1"/>
  <c r="AK36" i="15"/>
  <c r="J36" i="10" s="1"/>
  <c r="AL36" i="15"/>
  <c r="J36" i="13" s="1"/>
  <c r="AH36" i="15"/>
  <c r="J36" i="7" s="1"/>
  <c r="AB36" i="15"/>
  <c r="J36" i="4" s="1"/>
  <c r="AF36" i="15"/>
  <c r="J36" i="5" s="1"/>
  <c r="AD36" i="15"/>
  <c r="J36" i="2" s="1"/>
  <c r="AJ36" i="15"/>
  <c r="J36" i="9" s="1"/>
  <c r="AE36" i="15"/>
  <c r="J36" i="3" s="1"/>
  <c r="AG36" i="15"/>
  <c r="J36" i="6" s="1"/>
  <c r="F40" i="6"/>
  <c r="G40" i="6" s="1"/>
  <c r="F41" i="5"/>
  <c r="G41" i="5" s="1"/>
  <c r="A37" i="2"/>
  <c r="G37" i="2" s="1"/>
  <c r="E41" i="2" s="1"/>
  <c r="F40" i="9"/>
  <c r="G40" i="9" s="1"/>
  <c r="G36" i="8" l="1"/>
  <c r="B37" i="8"/>
  <c r="A36" i="8"/>
  <c r="G36" i="7"/>
  <c r="A36" i="7"/>
  <c r="B37" i="7"/>
  <c r="G36" i="14"/>
  <c r="B37" i="14"/>
  <c r="A36" i="14"/>
  <c r="G37" i="10"/>
  <c r="E41" i="10" s="1"/>
  <c r="F41" i="10" s="1"/>
  <c r="G41" i="10" s="1"/>
  <c r="A37" i="10"/>
  <c r="F41" i="2"/>
  <c r="G41" i="2" s="1"/>
  <c r="AI37" i="15"/>
  <c r="J37" i="8" s="1"/>
  <c r="AH37" i="15"/>
  <c r="J37" i="7" s="1"/>
  <c r="AD37" i="15"/>
  <c r="J37" i="2" s="1"/>
  <c r="AK37" i="15"/>
  <c r="J37" i="10" s="1"/>
  <c r="AB37" i="15"/>
  <c r="J37" i="4" s="1"/>
  <c r="AM37" i="15"/>
  <c r="J37" i="14" s="1"/>
  <c r="AF37" i="15"/>
  <c r="J37" i="5" s="1"/>
  <c r="G37" i="4"/>
  <c r="E41" i="4" s="1"/>
  <c r="A37" i="4"/>
  <c r="G37" i="8" l="1"/>
  <c r="E41" i="8" s="1"/>
  <c r="F41" i="8" s="1"/>
  <c r="G41" i="8" s="1"/>
  <c r="A37" i="8"/>
  <c r="G37" i="14"/>
  <c r="E41" i="14" s="1"/>
  <c r="F41" i="14" s="1"/>
  <c r="G41" i="14" s="1"/>
  <c r="A37" i="14"/>
  <c r="A37" i="7"/>
  <c r="G37" i="7"/>
  <c r="E41" i="7" s="1"/>
  <c r="F41" i="7" s="1"/>
  <c r="G41" i="7" s="1"/>
  <c r="F41" i="4"/>
  <c r="G41" i="4" s="1"/>
  <c r="E43" i="4"/>
  <c r="H44" i="4" s="1"/>
  <c r="E40" i="1" l="1"/>
  <c r="F43" i="4"/>
  <c r="G43" i="4" s="1"/>
  <c r="J6" i="4" s="1"/>
  <c r="H43" i="4"/>
  <c r="F40" i="1" l="1"/>
  <c r="G40" i="1" s="1"/>
  <c r="E41" i="1"/>
  <c r="H42" i="1" s="1"/>
  <c r="E42" i="2" l="1"/>
  <c r="H41" i="1"/>
  <c r="F41" i="1"/>
  <c r="G41" i="1" s="1"/>
  <c r="J6" i="1" s="1"/>
  <c r="F42" i="2" l="1"/>
  <c r="G42" i="2" s="1"/>
  <c r="E43" i="2"/>
  <c r="H44" i="2" s="1"/>
  <c r="E41" i="3" l="1"/>
  <c r="F43" i="2"/>
  <c r="H43" i="2"/>
  <c r="G43" i="2" l="1"/>
  <c r="J6" i="2" s="1"/>
  <c r="F41" i="3"/>
  <c r="G41" i="3" s="1"/>
  <c r="E42" i="3"/>
  <c r="H43" i="3" s="1"/>
  <c r="E42" i="5" l="1"/>
  <c r="H42" i="3"/>
  <c r="F42" i="3"/>
  <c r="G42" i="3" s="1"/>
  <c r="J6" i="3" s="1"/>
  <c r="F42" i="5" l="1"/>
  <c r="G42" i="5" s="1"/>
  <c r="E43" i="5"/>
  <c r="H44" i="5" s="1"/>
  <c r="E41" i="6" l="1"/>
  <c r="F43" i="5"/>
  <c r="H43" i="5"/>
  <c r="G43" i="5" l="1"/>
  <c r="J6" i="5" s="1"/>
  <c r="F41" i="6"/>
  <c r="G41" i="6" s="1"/>
  <c r="E42" i="6"/>
  <c r="H43" i="6" s="1"/>
  <c r="E42" i="7" l="1"/>
  <c r="F42" i="6"/>
  <c r="H42" i="6"/>
  <c r="G42" i="6" l="1"/>
  <c r="J6" i="6" s="1"/>
  <c r="F42" i="7"/>
  <c r="G42" i="7" s="1"/>
  <c r="E43" i="7"/>
  <c r="H44" i="7" s="1"/>
  <c r="E42" i="8" l="1"/>
  <c r="H43" i="7"/>
  <c r="F43" i="7"/>
  <c r="G43" i="7" s="1"/>
  <c r="J6" i="7" s="1"/>
  <c r="F42" i="8" l="1"/>
  <c r="G42" i="8" s="1"/>
  <c r="E43" i="8"/>
  <c r="H44" i="8" s="1"/>
  <c r="F43" i="8" l="1"/>
  <c r="G43" i="8" s="1"/>
  <c r="H43" i="8"/>
  <c r="E41" i="9"/>
  <c r="J6" i="8" l="1"/>
  <c r="F41" i="9"/>
  <c r="G41" i="9" s="1"/>
  <c r="E42" i="9"/>
  <c r="H43" i="9" s="1"/>
  <c r="E42" i="10" l="1"/>
  <c r="H42" i="9"/>
  <c r="F42" i="9"/>
  <c r="G42" i="9" l="1"/>
  <c r="J6" i="9" s="1"/>
  <c r="F42" i="10"/>
  <c r="G42" i="10" s="1"/>
  <c r="E43" i="10"/>
  <c r="H44" i="10" s="1"/>
  <c r="E41" i="13" l="1"/>
  <c r="F43" i="10"/>
  <c r="H43" i="10"/>
  <c r="F41" i="13" l="1"/>
  <c r="G41" i="13" s="1"/>
  <c r="E42" i="13"/>
  <c r="H43" i="13" s="1"/>
  <c r="G43" i="10"/>
  <c r="J6" i="10" s="1"/>
  <c r="H42" i="13" l="1"/>
  <c r="F42" i="13"/>
  <c r="G42" i="13" s="1"/>
  <c r="E42" i="14"/>
  <c r="J6" i="13" l="1"/>
  <c r="F42" i="14"/>
  <c r="G42" i="14" s="1"/>
  <c r="E43" i="14"/>
  <c r="H44" i="14" s="1"/>
  <c r="H43" i="14" l="1"/>
  <c r="F43" i="14"/>
  <c r="J18" i="15"/>
  <c r="J20" i="15" s="1"/>
  <c r="K20" i="15" s="1"/>
  <c r="G43" i="14" l="1"/>
  <c r="J6" i="14" s="1"/>
</calcChain>
</file>

<file path=xl/comments1.xml><?xml version="1.0" encoding="utf-8"?>
<comments xmlns="http://schemas.openxmlformats.org/spreadsheetml/2006/main">
  <authors>
    <author>eikg</author>
  </authors>
  <commentList>
    <comment ref="H3" authorId="0">
      <text>
        <r>
          <rPr>
            <b/>
            <sz val="8"/>
            <color indexed="81"/>
            <rFont val="Tahoma"/>
            <family val="2"/>
          </rPr>
          <t xml:space="preserve">Antall egenmeldinger ved fravær (egen sykdom)
- </t>
        </r>
        <r>
          <rPr>
            <sz val="8"/>
            <color indexed="81"/>
            <rFont val="Tahoma"/>
            <family val="2"/>
          </rPr>
          <t xml:space="preserve">I skjemaet "Melding om fravær" som leveres etter fravær med egenmelding, skal det oppgis antall dager med egenmeldinger ved </t>
        </r>
        <r>
          <rPr>
            <i/>
            <sz val="8"/>
            <color indexed="81"/>
            <rFont val="Tahoma"/>
            <family val="2"/>
          </rPr>
          <t>egen</t>
        </r>
        <r>
          <rPr>
            <sz val="8"/>
            <color indexed="81"/>
            <rFont val="Tahoma"/>
            <family val="2"/>
          </rPr>
          <t xml:space="preserve"> sykdom siste 12 måneder.
Nederst på hvert månedskjema vil du finne antall dager du skal føre i skjemaet. Forutsetningen for riktige dager, er at tall fra i fjor, er ført her.
</t>
        </r>
        <r>
          <rPr>
            <i/>
            <sz val="8"/>
            <color indexed="81"/>
            <rFont val="Tahoma"/>
            <family val="2"/>
          </rPr>
          <t>(Les mer under fanen "Info fravær" )</t>
        </r>
      </text>
    </comment>
    <comment ref="J3" authorId="0">
      <text>
        <r>
          <rPr>
            <b/>
            <sz val="8"/>
            <color indexed="81"/>
            <rFont val="Tahoma"/>
            <family val="2"/>
          </rPr>
          <t>Status for ført år
Info for overføring til neste års skjema</t>
        </r>
      </text>
    </comment>
    <comment ref="C46" authorId="0">
      <text>
        <r>
          <rPr>
            <sz val="8"/>
            <color indexed="81"/>
            <rFont val="Tahoma"/>
            <family val="2"/>
          </rPr>
          <t xml:space="preserve">Legger inn minuttene automatisk i feltet PAUSE dersom verdien er større enn 0.
Kan brukes ved delt arbeidsdag eller spisepause uten lønn.
Dersom en ansatt har lengre eller kortere pause en dag, kan han/hun overskrive til riktig pausetid for aktuell dag.
</t>
        </r>
      </text>
    </comment>
    <comment ref="C47" authorId="0">
      <text>
        <r>
          <rPr>
            <b/>
            <sz val="8"/>
            <color indexed="81"/>
            <rFont val="Tahoma"/>
            <family val="2"/>
          </rPr>
          <t>Dersom datofeltene for start og slutt er tomme, vil sommertid ikke brukes</t>
        </r>
      </text>
    </comment>
  </commentList>
</comments>
</file>

<file path=xl/comments10.xml><?xml version="1.0" encoding="utf-8"?>
<comments xmlns="http://schemas.openxmlformats.org/spreadsheetml/2006/main">
  <authors>
    <author>Eikland</author>
    <author>eikg</author>
  </authors>
  <commentList>
    <comment ref="K5" authorId="0">
      <text>
        <r>
          <rPr>
            <sz val="8"/>
            <color indexed="81"/>
            <rFont val="Tahoma"/>
            <family val="2"/>
          </rPr>
          <t>Disse 2 kolonnene kan brukes til
overtid, prosjekt, kjøring eller lignende.
(</t>
        </r>
        <r>
          <rPr>
            <i/>
            <sz val="8"/>
            <color indexed="81"/>
            <rFont val="Tahoma"/>
            <family val="2"/>
          </rPr>
          <t>Har ingen kobling mot andre felt</t>
        </r>
        <r>
          <rPr>
            <sz val="8"/>
            <color indexed="81"/>
            <rFont val="Tahoma"/>
            <family val="2"/>
          </rPr>
          <t>)</t>
        </r>
      </text>
    </comment>
    <comment ref="C6" authorId="1">
      <text>
        <r>
          <rPr>
            <b/>
            <sz val="8"/>
            <color indexed="81"/>
            <rFont val="Tahoma"/>
            <family val="2"/>
          </rPr>
          <t xml:space="preserve">Føring av fravær hel dag:  </t>
        </r>
        <r>
          <rPr>
            <b/>
            <u/>
            <sz val="8"/>
            <color indexed="12"/>
            <rFont val="Tahoma"/>
            <family val="2"/>
          </rPr>
          <t>Fl</t>
        </r>
        <r>
          <rPr>
            <sz val="8"/>
            <color indexed="81"/>
            <rFont val="Tahoma"/>
            <family val="2"/>
          </rPr>
          <t xml:space="preserve">eksi, </t>
        </r>
        <r>
          <rPr>
            <b/>
            <u/>
            <sz val="8"/>
            <color indexed="12"/>
            <rFont val="Tahoma"/>
            <family val="2"/>
          </rPr>
          <t>Fe</t>
        </r>
        <r>
          <rPr>
            <sz val="8"/>
            <color indexed="81"/>
            <rFont val="Tahoma"/>
            <family val="2"/>
          </rPr>
          <t xml:space="preserve">rie, </t>
        </r>
        <r>
          <rPr>
            <b/>
            <u/>
            <sz val="8"/>
            <color indexed="12"/>
            <rFont val="Tahoma"/>
            <family val="2"/>
          </rPr>
          <t>S</t>
        </r>
        <r>
          <rPr>
            <sz val="8"/>
            <color indexed="81"/>
            <rFont val="Tahoma"/>
            <family val="2"/>
          </rPr>
          <t xml:space="preserve">yk, </t>
        </r>
        <r>
          <rPr>
            <b/>
            <u/>
            <sz val="8"/>
            <color indexed="12"/>
            <rFont val="Tahoma"/>
            <family val="2"/>
          </rPr>
          <t>S</t>
        </r>
        <r>
          <rPr>
            <sz val="8"/>
            <color indexed="81"/>
            <rFont val="Tahoma"/>
            <family val="2"/>
          </rPr>
          <t>yke</t>
        </r>
        <r>
          <rPr>
            <b/>
            <u/>
            <sz val="8"/>
            <color indexed="12"/>
            <rFont val="Tahoma"/>
            <family val="2"/>
          </rPr>
          <t>m</t>
        </r>
        <r>
          <rPr>
            <sz val="8"/>
            <color indexed="81"/>
            <rFont val="Tahoma"/>
            <family val="2"/>
          </rPr>
          <t>elding (</t>
        </r>
        <r>
          <rPr>
            <b/>
            <sz val="8"/>
            <color indexed="12"/>
            <rFont val="Tahoma"/>
            <family val="2"/>
          </rPr>
          <t>sm</t>
        </r>
        <r>
          <rPr>
            <sz val="8"/>
            <color indexed="81"/>
            <rFont val="Tahoma"/>
            <family val="2"/>
          </rPr>
          <t xml:space="preserve">)
                </t>
        </r>
        <r>
          <rPr>
            <b/>
            <sz val="8"/>
            <color indexed="81"/>
            <rFont val="Tahoma"/>
            <family val="2"/>
          </rPr>
          <t xml:space="preserve">- ved permisjon: </t>
        </r>
        <r>
          <rPr>
            <sz val="8"/>
            <color indexed="81"/>
            <rFont val="Tahoma"/>
            <family val="2"/>
          </rPr>
          <t xml:space="preserve"> Sykt barn/-passer (</t>
        </r>
        <r>
          <rPr>
            <b/>
            <sz val="8"/>
            <color indexed="12"/>
            <rFont val="Tahoma"/>
            <family val="2"/>
          </rPr>
          <t>pb</t>
        </r>
        <r>
          <rPr>
            <sz val="8"/>
            <color indexed="81"/>
            <rFont val="Tahoma"/>
            <family val="2"/>
          </rPr>
          <t>), velferd (</t>
        </r>
        <r>
          <rPr>
            <b/>
            <sz val="8"/>
            <color indexed="12"/>
            <rFont val="Tahoma"/>
            <family val="2"/>
          </rPr>
          <t>pv</t>
        </r>
        <r>
          <rPr>
            <sz val="8"/>
            <color indexed="81"/>
            <rFont val="Tahoma"/>
            <family val="2"/>
          </rPr>
          <t>) og annet (</t>
        </r>
        <r>
          <rPr>
            <b/>
            <sz val="8"/>
            <color indexed="12"/>
            <rFont val="Tahoma"/>
            <family val="2"/>
          </rPr>
          <t>pa</t>
        </r>
        <r>
          <rPr>
            <sz val="8"/>
            <color indexed="81"/>
            <rFont val="Tahoma"/>
            <family val="2"/>
          </rPr>
          <t>)</t>
        </r>
      </text>
    </comment>
    <comment ref="H6" authorId="0">
      <text>
        <r>
          <rPr>
            <sz val="8"/>
            <color indexed="81"/>
            <rFont val="Tahoma"/>
            <family val="2"/>
          </rPr>
          <t>Pause innenfor arbeidstid
(uten lønn)</t>
        </r>
        <r>
          <rPr>
            <sz val="8"/>
            <color indexed="81"/>
            <rFont val="Tahoma"/>
            <family val="2"/>
          </rPr>
          <t xml:space="preserve">
</t>
        </r>
      </text>
    </comment>
    <comment ref="I6" authorId="0">
      <text>
        <r>
          <rPr>
            <sz val="8"/>
            <color indexed="81"/>
            <rFont val="Tahoma"/>
            <family val="2"/>
          </rPr>
          <t xml:space="preserve">Midlertidig </t>
        </r>
        <r>
          <rPr>
            <i/>
            <sz val="8"/>
            <color indexed="12"/>
            <rFont val="Tahoma"/>
            <family val="2"/>
          </rPr>
          <t>redusert</t>
        </r>
        <r>
          <rPr>
            <sz val="8"/>
            <color indexed="12"/>
            <rFont val="Tahoma"/>
            <family val="2"/>
          </rPr>
          <t xml:space="preserve"> </t>
        </r>
        <r>
          <rPr>
            <sz val="8"/>
            <color indexed="81"/>
            <rFont val="Tahoma"/>
            <family val="2"/>
          </rPr>
          <t>arbeidstid
(iht. delvis sykemelding/permisjon)</t>
        </r>
      </text>
    </comment>
    <comment ref="J6" authorId="1">
      <text>
        <r>
          <rPr>
            <b/>
            <i/>
            <sz val="8"/>
            <color indexed="81"/>
            <rFont val="Tahoma"/>
            <family val="2"/>
          </rPr>
          <t>Status</t>
        </r>
        <r>
          <rPr>
            <b/>
            <sz val="8"/>
            <color indexed="81"/>
            <rFont val="Tahoma"/>
            <family val="2"/>
          </rPr>
          <t xml:space="preserve">
</t>
        </r>
        <r>
          <rPr>
            <sz val="8"/>
            <color indexed="81"/>
            <rFont val="Tahoma"/>
            <family val="2"/>
          </rPr>
          <t>For detaljer, se nederst på siden</t>
        </r>
        <r>
          <rPr>
            <sz val="8"/>
            <color indexed="81"/>
            <rFont val="Tahoma"/>
            <family val="2"/>
          </rPr>
          <t xml:space="preserve">
</t>
        </r>
      </text>
    </comment>
    <comment ref="H44" authorId="1">
      <text>
        <r>
          <rPr>
            <sz val="8"/>
            <color indexed="81"/>
            <rFont val="Tahoma"/>
            <family val="2"/>
          </rPr>
          <t>Dager med sommertid</t>
        </r>
      </text>
    </comment>
  </commentList>
</comments>
</file>

<file path=xl/comments11.xml><?xml version="1.0" encoding="utf-8"?>
<comments xmlns="http://schemas.openxmlformats.org/spreadsheetml/2006/main">
  <authors>
    <author>Eikland</author>
    <author>eikg</author>
  </authors>
  <commentList>
    <comment ref="K5" authorId="0">
      <text>
        <r>
          <rPr>
            <sz val="8"/>
            <color indexed="81"/>
            <rFont val="Tahoma"/>
            <family val="2"/>
          </rPr>
          <t>Disse 2 kolonnene kan brukes til
overtid, prosjekt, kjøring eller lignende.
(</t>
        </r>
        <r>
          <rPr>
            <i/>
            <sz val="8"/>
            <color indexed="81"/>
            <rFont val="Tahoma"/>
            <family val="2"/>
          </rPr>
          <t>Har ingen kobling mot andre felt</t>
        </r>
        <r>
          <rPr>
            <sz val="8"/>
            <color indexed="81"/>
            <rFont val="Tahoma"/>
            <family val="2"/>
          </rPr>
          <t>)</t>
        </r>
      </text>
    </comment>
    <comment ref="C6" authorId="1">
      <text>
        <r>
          <rPr>
            <b/>
            <sz val="8"/>
            <color indexed="81"/>
            <rFont val="Tahoma"/>
            <family val="2"/>
          </rPr>
          <t xml:space="preserve">Føring av fravær hel dag:  </t>
        </r>
        <r>
          <rPr>
            <b/>
            <u/>
            <sz val="8"/>
            <color indexed="12"/>
            <rFont val="Tahoma"/>
            <family val="2"/>
          </rPr>
          <t>Fl</t>
        </r>
        <r>
          <rPr>
            <sz val="8"/>
            <color indexed="81"/>
            <rFont val="Tahoma"/>
            <family val="2"/>
          </rPr>
          <t xml:space="preserve">eksi, </t>
        </r>
        <r>
          <rPr>
            <b/>
            <u/>
            <sz val="8"/>
            <color indexed="12"/>
            <rFont val="Tahoma"/>
            <family val="2"/>
          </rPr>
          <t>Fe</t>
        </r>
        <r>
          <rPr>
            <sz val="8"/>
            <color indexed="81"/>
            <rFont val="Tahoma"/>
            <family val="2"/>
          </rPr>
          <t xml:space="preserve">rie, </t>
        </r>
        <r>
          <rPr>
            <b/>
            <u/>
            <sz val="8"/>
            <color indexed="12"/>
            <rFont val="Tahoma"/>
            <family val="2"/>
          </rPr>
          <t>S</t>
        </r>
        <r>
          <rPr>
            <sz val="8"/>
            <color indexed="81"/>
            <rFont val="Tahoma"/>
            <family val="2"/>
          </rPr>
          <t xml:space="preserve">yk, </t>
        </r>
        <r>
          <rPr>
            <b/>
            <u/>
            <sz val="8"/>
            <color indexed="12"/>
            <rFont val="Tahoma"/>
            <family val="2"/>
          </rPr>
          <t>S</t>
        </r>
        <r>
          <rPr>
            <sz val="8"/>
            <color indexed="81"/>
            <rFont val="Tahoma"/>
            <family val="2"/>
          </rPr>
          <t>yke</t>
        </r>
        <r>
          <rPr>
            <b/>
            <u/>
            <sz val="8"/>
            <color indexed="12"/>
            <rFont val="Tahoma"/>
            <family val="2"/>
          </rPr>
          <t>m</t>
        </r>
        <r>
          <rPr>
            <sz val="8"/>
            <color indexed="81"/>
            <rFont val="Tahoma"/>
            <family val="2"/>
          </rPr>
          <t>elding (</t>
        </r>
        <r>
          <rPr>
            <b/>
            <sz val="8"/>
            <color indexed="12"/>
            <rFont val="Tahoma"/>
            <family val="2"/>
          </rPr>
          <t>sm</t>
        </r>
        <r>
          <rPr>
            <sz val="8"/>
            <color indexed="81"/>
            <rFont val="Tahoma"/>
            <family val="2"/>
          </rPr>
          <t xml:space="preserve">)
                </t>
        </r>
        <r>
          <rPr>
            <b/>
            <sz val="8"/>
            <color indexed="81"/>
            <rFont val="Tahoma"/>
            <family val="2"/>
          </rPr>
          <t xml:space="preserve">- ved permisjon: </t>
        </r>
        <r>
          <rPr>
            <sz val="8"/>
            <color indexed="81"/>
            <rFont val="Tahoma"/>
            <family val="2"/>
          </rPr>
          <t xml:space="preserve"> Sykt barn/-passer (</t>
        </r>
        <r>
          <rPr>
            <b/>
            <sz val="8"/>
            <color indexed="12"/>
            <rFont val="Tahoma"/>
            <family val="2"/>
          </rPr>
          <t>pb</t>
        </r>
        <r>
          <rPr>
            <sz val="8"/>
            <color indexed="81"/>
            <rFont val="Tahoma"/>
            <family val="2"/>
          </rPr>
          <t>), velferd (</t>
        </r>
        <r>
          <rPr>
            <b/>
            <sz val="8"/>
            <color indexed="12"/>
            <rFont val="Tahoma"/>
            <family val="2"/>
          </rPr>
          <t>pv</t>
        </r>
        <r>
          <rPr>
            <sz val="8"/>
            <color indexed="81"/>
            <rFont val="Tahoma"/>
            <family val="2"/>
          </rPr>
          <t>) og annet (</t>
        </r>
        <r>
          <rPr>
            <b/>
            <sz val="8"/>
            <color indexed="12"/>
            <rFont val="Tahoma"/>
            <family val="2"/>
          </rPr>
          <t>pa</t>
        </r>
        <r>
          <rPr>
            <sz val="8"/>
            <color indexed="81"/>
            <rFont val="Tahoma"/>
            <family val="2"/>
          </rPr>
          <t>)</t>
        </r>
      </text>
    </comment>
    <comment ref="H6" authorId="0">
      <text>
        <r>
          <rPr>
            <sz val="8"/>
            <color indexed="81"/>
            <rFont val="Tahoma"/>
            <family val="2"/>
          </rPr>
          <t>Pause innenfor arbeidstid
(uten lønn)</t>
        </r>
        <r>
          <rPr>
            <sz val="8"/>
            <color indexed="81"/>
            <rFont val="Tahoma"/>
            <family val="2"/>
          </rPr>
          <t xml:space="preserve">
</t>
        </r>
      </text>
    </comment>
    <comment ref="I6" authorId="0">
      <text>
        <r>
          <rPr>
            <sz val="8"/>
            <color indexed="81"/>
            <rFont val="Tahoma"/>
            <family val="2"/>
          </rPr>
          <t xml:space="preserve">Midlertidig </t>
        </r>
        <r>
          <rPr>
            <i/>
            <sz val="8"/>
            <color indexed="12"/>
            <rFont val="Tahoma"/>
            <family val="2"/>
          </rPr>
          <t>redusert</t>
        </r>
        <r>
          <rPr>
            <sz val="8"/>
            <color indexed="12"/>
            <rFont val="Tahoma"/>
            <family val="2"/>
          </rPr>
          <t xml:space="preserve"> </t>
        </r>
        <r>
          <rPr>
            <sz val="8"/>
            <color indexed="81"/>
            <rFont val="Tahoma"/>
            <family val="2"/>
          </rPr>
          <t>arbeidstid
(iht. delvis sykemelding/permisjon)</t>
        </r>
      </text>
    </comment>
    <comment ref="J6" authorId="1">
      <text>
        <r>
          <rPr>
            <b/>
            <i/>
            <sz val="8"/>
            <color indexed="81"/>
            <rFont val="Tahoma"/>
            <family val="2"/>
          </rPr>
          <t>Status</t>
        </r>
        <r>
          <rPr>
            <b/>
            <sz val="8"/>
            <color indexed="81"/>
            <rFont val="Tahoma"/>
            <family val="2"/>
          </rPr>
          <t xml:space="preserve">
</t>
        </r>
        <r>
          <rPr>
            <sz val="8"/>
            <color indexed="81"/>
            <rFont val="Tahoma"/>
            <family val="2"/>
          </rPr>
          <t>For detaljer, se nederst på siden</t>
        </r>
        <r>
          <rPr>
            <sz val="8"/>
            <color indexed="81"/>
            <rFont val="Tahoma"/>
            <family val="2"/>
          </rPr>
          <t xml:space="preserve">
</t>
        </r>
      </text>
    </comment>
    <comment ref="H43" authorId="1">
      <text>
        <r>
          <rPr>
            <sz val="8"/>
            <color indexed="81"/>
            <rFont val="Tahoma"/>
            <family val="2"/>
          </rPr>
          <t>Dager med sommertid</t>
        </r>
      </text>
    </comment>
  </commentList>
</comments>
</file>

<file path=xl/comments12.xml><?xml version="1.0" encoding="utf-8"?>
<comments xmlns="http://schemas.openxmlformats.org/spreadsheetml/2006/main">
  <authors>
    <author>Eikland</author>
    <author>eikg</author>
  </authors>
  <commentList>
    <comment ref="K5" authorId="0">
      <text>
        <r>
          <rPr>
            <sz val="8"/>
            <color indexed="81"/>
            <rFont val="Tahoma"/>
            <family val="2"/>
          </rPr>
          <t>Disse 2 kolonnene kan brukes til
overtid, prosjekt, kjøring eller lignende.
(</t>
        </r>
        <r>
          <rPr>
            <i/>
            <sz val="8"/>
            <color indexed="81"/>
            <rFont val="Tahoma"/>
            <family val="2"/>
          </rPr>
          <t>Har ingen kobling mot andre felt</t>
        </r>
        <r>
          <rPr>
            <sz val="8"/>
            <color indexed="81"/>
            <rFont val="Tahoma"/>
            <family val="2"/>
          </rPr>
          <t>)</t>
        </r>
      </text>
    </comment>
    <comment ref="C6" authorId="1">
      <text>
        <r>
          <rPr>
            <b/>
            <sz val="8"/>
            <color indexed="81"/>
            <rFont val="Tahoma"/>
            <family val="2"/>
          </rPr>
          <t xml:space="preserve">Føring av fravær hel dag:  </t>
        </r>
        <r>
          <rPr>
            <b/>
            <u/>
            <sz val="8"/>
            <color indexed="12"/>
            <rFont val="Tahoma"/>
            <family val="2"/>
          </rPr>
          <t>Fl</t>
        </r>
        <r>
          <rPr>
            <sz val="8"/>
            <color indexed="81"/>
            <rFont val="Tahoma"/>
            <family val="2"/>
          </rPr>
          <t xml:space="preserve">eksi, </t>
        </r>
        <r>
          <rPr>
            <b/>
            <u/>
            <sz val="8"/>
            <color indexed="12"/>
            <rFont val="Tahoma"/>
            <family val="2"/>
          </rPr>
          <t>Fe</t>
        </r>
        <r>
          <rPr>
            <sz val="8"/>
            <color indexed="81"/>
            <rFont val="Tahoma"/>
            <family val="2"/>
          </rPr>
          <t xml:space="preserve">rie, </t>
        </r>
        <r>
          <rPr>
            <b/>
            <u/>
            <sz val="8"/>
            <color indexed="12"/>
            <rFont val="Tahoma"/>
            <family val="2"/>
          </rPr>
          <t>S</t>
        </r>
        <r>
          <rPr>
            <sz val="8"/>
            <color indexed="81"/>
            <rFont val="Tahoma"/>
            <family val="2"/>
          </rPr>
          <t xml:space="preserve">yk, </t>
        </r>
        <r>
          <rPr>
            <b/>
            <u/>
            <sz val="8"/>
            <color indexed="12"/>
            <rFont val="Tahoma"/>
            <family val="2"/>
          </rPr>
          <t>S</t>
        </r>
        <r>
          <rPr>
            <sz val="8"/>
            <color indexed="81"/>
            <rFont val="Tahoma"/>
            <family val="2"/>
          </rPr>
          <t>yke</t>
        </r>
        <r>
          <rPr>
            <b/>
            <u/>
            <sz val="8"/>
            <color indexed="12"/>
            <rFont val="Tahoma"/>
            <family val="2"/>
          </rPr>
          <t>m</t>
        </r>
        <r>
          <rPr>
            <sz val="8"/>
            <color indexed="81"/>
            <rFont val="Tahoma"/>
            <family val="2"/>
          </rPr>
          <t>elding (</t>
        </r>
        <r>
          <rPr>
            <b/>
            <sz val="8"/>
            <color indexed="12"/>
            <rFont val="Tahoma"/>
            <family val="2"/>
          </rPr>
          <t>sm</t>
        </r>
        <r>
          <rPr>
            <sz val="8"/>
            <color indexed="81"/>
            <rFont val="Tahoma"/>
            <family val="2"/>
          </rPr>
          <t xml:space="preserve">)
                </t>
        </r>
        <r>
          <rPr>
            <b/>
            <sz val="8"/>
            <color indexed="81"/>
            <rFont val="Tahoma"/>
            <family val="2"/>
          </rPr>
          <t xml:space="preserve">- ved permisjon: </t>
        </r>
        <r>
          <rPr>
            <sz val="8"/>
            <color indexed="81"/>
            <rFont val="Tahoma"/>
            <family val="2"/>
          </rPr>
          <t xml:space="preserve"> Sykt barn/-passer (</t>
        </r>
        <r>
          <rPr>
            <b/>
            <sz val="8"/>
            <color indexed="12"/>
            <rFont val="Tahoma"/>
            <family val="2"/>
          </rPr>
          <t>pb</t>
        </r>
        <r>
          <rPr>
            <sz val="8"/>
            <color indexed="81"/>
            <rFont val="Tahoma"/>
            <family val="2"/>
          </rPr>
          <t>), velferd (</t>
        </r>
        <r>
          <rPr>
            <b/>
            <sz val="8"/>
            <color indexed="12"/>
            <rFont val="Tahoma"/>
            <family val="2"/>
          </rPr>
          <t>pv</t>
        </r>
        <r>
          <rPr>
            <sz val="8"/>
            <color indexed="81"/>
            <rFont val="Tahoma"/>
            <family val="2"/>
          </rPr>
          <t>) og annet (</t>
        </r>
        <r>
          <rPr>
            <b/>
            <sz val="8"/>
            <color indexed="12"/>
            <rFont val="Tahoma"/>
            <family val="2"/>
          </rPr>
          <t>pa</t>
        </r>
        <r>
          <rPr>
            <sz val="8"/>
            <color indexed="81"/>
            <rFont val="Tahoma"/>
            <family val="2"/>
          </rPr>
          <t>)</t>
        </r>
      </text>
    </comment>
    <comment ref="H6" authorId="0">
      <text>
        <r>
          <rPr>
            <sz val="8"/>
            <color indexed="81"/>
            <rFont val="Tahoma"/>
            <family val="2"/>
          </rPr>
          <t>Pause innenfor arbeidstid
(uten lønn)</t>
        </r>
        <r>
          <rPr>
            <sz val="8"/>
            <color indexed="81"/>
            <rFont val="Tahoma"/>
            <family val="2"/>
          </rPr>
          <t xml:space="preserve">
</t>
        </r>
      </text>
    </comment>
    <comment ref="I6" authorId="0">
      <text>
        <r>
          <rPr>
            <sz val="8"/>
            <color indexed="81"/>
            <rFont val="Tahoma"/>
            <family val="2"/>
          </rPr>
          <t xml:space="preserve">Midlertidig </t>
        </r>
        <r>
          <rPr>
            <i/>
            <sz val="8"/>
            <color indexed="12"/>
            <rFont val="Tahoma"/>
            <family val="2"/>
          </rPr>
          <t>redusert</t>
        </r>
        <r>
          <rPr>
            <sz val="8"/>
            <color indexed="12"/>
            <rFont val="Tahoma"/>
            <family val="2"/>
          </rPr>
          <t xml:space="preserve"> </t>
        </r>
        <r>
          <rPr>
            <sz val="8"/>
            <color indexed="81"/>
            <rFont val="Tahoma"/>
            <family val="2"/>
          </rPr>
          <t>arbeidstid
(iht. delvis sykemelding/permisjon)</t>
        </r>
      </text>
    </comment>
    <comment ref="J6" authorId="1">
      <text>
        <r>
          <rPr>
            <b/>
            <i/>
            <sz val="8"/>
            <color indexed="81"/>
            <rFont val="Tahoma"/>
            <family val="2"/>
          </rPr>
          <t>Status</t>
        </r>
        <r>
          <rPr>
            <b/>
            <sz val="8"/>
            <color indexed="81"/>
            <rFont val="Tahoma"/>
            <family val="2"/>
          </rPr>
          <t xml:space="preserve">
</t>
        </r>
        <r>
          <rPr>
            <sz val="8"/>
            <color indexed="81"/>
            <rFont val="Tahoma"/>
            <family val="2"/>
          </rPr>
          <t>For detaljer, se nederst på siden</t>
        </r>
        <r>
          <rPr>
            <sz val="8"/>
            <color indexed="81"/>
            <rFont val="Tahoma"/>
            <family val="2"/>
          </rPr>
          <t xml:space="preserve">
</t>
        </r>
      </text>
    </comment>
    <comment ref="H44" authorId="1">
      <text>
        <r>
          <rPr>
            <sz val="8"/>
            <color indexed="81"/>
            <rFont val="Tahoma"/>
            <family val="2"/>
          </rPr>
          <t>Dager med sommertid</t>
        </r>
      </text>
    </comment>
  </commentList>
</comments>
</file>

<file path=xl/comments13.xml><?xml version="1.0" encoding="utf-8"?>
<comments xmlns="http://schemas.openxmlformats.org/spreadsheetml/2006/main">
  <authors>
    <author>Eikland</author>
    <author>eikg</author>
  </authors>
  <commentList>
    <comment ref="K5" authorId="0">
      <text>
        <r>
          <rPr>
            <sz val="8"/>
            <color indexed="81"/>
            <rFont val="Tahoma"/>
            <family val="2"/>
          </rPr>
          <t>Disse 2 kolonnene kan brukes til
overtid, prosjekt, kjøring eller lignende.
(</t>
        </r>
        <r>
          <rPr>
            <i/>
            <sz val="8"/>
            <color indexed="81"/>
            <rFont val="Tahoma"/>
            <family val="2"/>
          </rPr>
          <t>Har ingen kobling mot andre felt</t>
        </r>
        <r>
          <rPr>
            <sz val="8"/>
            <color indexed="81"/>
            <rFont val="Tahoma"/>
            <family val="2"/>
          </rPr>
          <t>)</t>
        </r>
      </text>
    </comment>
    <comment ref="C6" authorId="1">
      <text>
        <r>
          <rPr>
            <b/>
            <sz val="8"/>
            <color indexed="81"/>
            <rFont val="Tahoma"/>
            <family val="2"/>
          </rPr>
          <t xml:space="preserve">Føring av fravær hel dag:  </t>
        </r>
        <r>
          <rPr>
            <b/>
            <u/>
            <sz val="8"/>
            <color indexed="12"/>
            <rFont val="Tahoma"/>
            <family val="2"/>
          </rPr>
          <t>Fl</t>
        </r>
        <r>
          <rPr>
            <sz val="8"/>
            <color indexed="81"/>
            <rFont val="Tahoma"/>
            <family val="2"/>
          </rPr>
          <t xml:space="preserve">eksi, </t>
        </r>
        <r>
          <rPr>
            <b/>
            <u/>
            <sz val="8"/>
            <color indexed="12"/>
            <rFont val="Tahoma"/>
            <family val="2"/>
          </rPr>
          <t>Fe</t>
        </r>
        <r>
          <rPr>
            <sz val="8"/>
            <color indexed="81"/>
            <rFont val="Tahoma"/>
            <family val="2"/>
          </rPr>
          <t xml:space="preserve">rie, </t>
        </r>
        <r>
          <rPr>
            <b/>
            <u/>
            <sz val="8"/>
            <color indexed="12"/>
            <rFont val="Tahoma"/>
            <family val="2"/>
          </rPr>
          <t>S</t>
        </r>
        <r>
          <rPr>
            <sz val="8"/>
            <color indexed="81"/>
            <rFont val="Tahoma"/>
            <family val="2"/>
          </rPr>
          <t xml:space="preserve">yk, </t>
        </r>
        <r>
          <rPr>
            <b/>
            <u/>
            <sz val="8"/>
            <color indexed="12"/>
            <rFont val="Tahoma"/>
            <family val="2"/>
          </rPr>
          <t>S</t>
        </r>
        <r>
          <rPr>
            <sz val="8"/>
            <color indexed="81"/>
            <rFont val="Tahoma"/>
            <family val="2"/>
          </rPr>
          <t>yke</t>
        </r>
        <r>
          <rPr>
            <b/>
            <u/>
            <sz val="8"/>
            <color indexed="12"/>
            <rFont val="Tahoma"/>
            <family val="2"/>
          </rPr>
          <t>m</t>
        </r>
        <r>
          <rPr>
            <sz val="8"/>
            <color indexed="81"/>
            <rFont val="Tahoma"/>
            <family val="2"/>
          </rPr>
          <t>elding (</t>
        </r>
        <r>
          <rPr>
            <b/>
            <sz val="8"/>
            <color indexed="12"/>
            <rFont val="Tahoma"/>
            <family val="2"/>
          </rPr>
          <t>sm</t>
        </r>
        <r>
          <rPr>
            <sz val="8"/>
            <color indexed="81"/>
            <rFont val="Tahoma"/>
            <family val="2"/>
          </rPr>
          <t xml:space="preserve">)
                </t>
        </r>
        <r>
          <rPr>
            <b/>
            <sz val="8"/>
            <color indexed="81"/>
            <rFont val="Tahoma"/>
            <family val="2"/>
          </rPr>
          <t xml:space="preserve">- ved permisjon: </t>
        </r>
        <r>
          <rPr>
            <sz val="8"/>
            <color indexed="81"/>
            <rFont val="Tahoma"/>
            <family val="2"/>
          </rPr>
          <t xml:space="preserve"> Sykt barn/-passer (</t>
        </r>
        <r>
          <rPr>
            <b/>
            <sz val="8"/>
            <color indexed="12"/>
            <rFont val="Tahoma"/>
            <family val="2"/>
          </rPr>
          <t>pb</t>
        </r>
        <r>
          <rPr>
            <sz val="8"/>
            <color indexed="81"/>
            <rFont val="Tahoma"/>
            <family val="2"/>
          </rPr>
          <t>), velferd (</t>
        </r>
        <r>
          <rPr>
            <b/>
            <sz val="8"/>
            <color indexed="12"/>
            <rFont val="Tahoma"/>
            <family val="2"/>
          </rPr>
          <t>pv</t>
        </r>
        <r>
          <rPr>
            <sz val="8"/>
            <color indexed="81"/>
            <rFont val="Tahoma"/>
            <family val="2"/>
          </rPr>
          <t>) og annet (</t>
        </r>
        <r>
          <rPr>
            <b/>
            <sz val="8"/>
            <color indexed="12"/>
            <rFont val="Tahoma"/>
            <family val="2"/>
          </rPr>
          <t>pa</t>
        </r>
        <r>
          <rPr>
            <sz val="8"/>
            <color indexed="81"/>
            <rFont val="Tahoma"/>
            <family val="2"/>
          </rPr>
          <t>)</t>
        </r>
      </text>
    </comment>
    <comment ref="H6" authorId="0">
      <text>
        <r>
          <rPr>
            <sz val="8"/>
            <color indexed="81"/>
            <rFont val="Tahoma"/>
            <family val="2"/>
          </rPr>
          <t>Pause innenfor arbeidstid
(uten lønn)</t>
        </r>
        <r>
          <rPr>
            <sz val="8"/>
            <color indexed="81"/>
            <rFont val="Tahoma"/>
            <family val="2"/>
          </rPr>
          <t xml:space="preserve">
</t>
        </r>
      </text>
    </comment>
    <comment ref="I6" authorId="0">
      <text>
        <r>
          <rPr>
            <sz val="8"/>
            <color indexed="81"/>
            <rFont val="Tahoma"/>
            <family val="2"/>
          </rPr>
          <t xml:space="preserve">Midlertidig </t>
        </r>
        <r>
          <rPr>
            <i/>
            <sz val="8"/>
            <color indexed="12"/>
            <rFont val="Tahoma"/>
            <family val="2"/>
          </rPr>
          <t>redusert</t>
        </r>
        <r>
          <rPr>
            <sz val="8"/>
            <color indexed="12"/>
            <rFont val="Tahoma"/>
            <family val="2"/>
          </rPr>
          <t xml:space="preserve"> </t>
        </r>
        <r>
          <rPr>
            <sz val="8"/>
            <color indexed="81"/>
            <rFont val="Tahoma"/>
            <family val="2"/>
          </rPr>
          <t>arbeidstid
(iht. delvis sykemelding/permisjon)</t>
        </r>
      </text>
    </comment>
    <comment ref="J6" authorId="1">
      <text>
        <r>
          <rPr>
            <b/>
            <i/>
            <sz val="8"/>
            <color indexed="81"/>
            <rFont val="Tahoma"/>
            <family val="2"/>
          </rPr>
          <t>Status</t>
        </r>
        <r>
          <rPr>
            <b/>
            <sz val="8"/>
            <color indexed="81"/>
            <rFont val="Tahoma"/>
            <family val="2"/>
          </rPr>
          <t xml:space="preserve">
</t>
        </r>
        <r>
          <rPr>
            <sz val="8"/>
            <color indexed="81"/>
            <rFont val="Tahoma"/>
            <family val="2"/>
          </rPr>
          <t>For detaljer, se nederst på siden</t>
        </r>
        <r>
          <rPr>
            <sz val="8"/>
            <color indexed="81"/>
            <rFont val="Tahoma"/>
            <family val="2"/>
          </rPr>
          <t xml:space="preserve">
</t>
        </r>
      </text>
    </comment>
    <comment ref="H43" authorId="1">
      <text>
        <r>
          <rPr>
            <sz val="8"/>
            <color indexed="81"/>
            <rFont val="Tahoma"/>
            <family val="2"/>
          </rPr>
          <t>Dager med sommertid</t>
        </r>
      </text>
    </comment>
  </commentList>
</comments>
</file>

<file path=xl/comments14.xml><?xml version="1.0" encoding="utf-8"?>
<comments xmlns="http://schemas.openxmlformats.org/spreadsheetml/2006/main">
  <authors>
    <author>Eikland</author>
    <author>eikg</author>
  </authors>
  <commentList>
    <comment ref="K5" authorId="0">
      <text>
        <r>
          <rPr>
            <sz val="8"/>
            <color indexed="81"/>
            <rFont val="Tahoma"/>
            <family val="2"/>
          </rPr>
          <t>Disse 2 kolonnene kan brukes til
overtid, prosjekt, kjøring eller lignende.
(</t>
        </r>
        <r>
          <rPr>
            <i/>
            <sz val="8"/>
            <color indexed="81"/>
            <rFont val="Tahoma"/>
            <family val="2"/>
          </rPr>
          <t>Har ingen kobling mot andre felt</t>
        </r>
        <r>
          <rPr>
            <sz val="8"/>
            <color indexed="81"/>
            <rFont val="Tahoma"/>
            <family val="2"/>
          </rPr>
          <t>)</t>
        </r>
      </text>
    </comment>
    <comment ref="C6" authorId="1">
      <text>
        <r>
          <rPr>
            <b/>
            <sz val="8"/>
            <color indexed="81"/>
            <rFont val="Tahoma"/>
            <family val="2"/>
          </rPr>
          <t xml:space="preserve">Føring av fravær hel dag:  </t>
        </r>
        <r>
          <rPr>
            <b/>
            <u/>
            <sz val="8"/>
            <color indexed="12"/>
            <rFont val="Tahoma"/>
            <family val="2"/>
          </rPr>
          <t>Fl</t>
        </r>
        <r>
          <rPr>
            <sz val="8"/>
            <color indexed="81"/>
            <rFont val="Tahoma"/>
            <family val="2"/>
          </rPr>
          <t xml:space="preserve">eksi, </t>
        </r>
        <r>
          <rPr>
            <b/>
            <u/>
            <sz val="8"/>
            <color indexed="12"/>
            <rFont val="Tahoma"/>
            <family val="2"/>
          </rPr>
          <t>Fe</t>
        </r>
        <r>
          <rPr>
            <sz val="8"/>
            <color indexed="81"/>
            <rFont val="Tahoma"/>
            <family val="2"/>
          </rPr>
          <t xml:space="preserve">rie, </t>
        </r>
        <r>
          <rPr>
            <b/>
            <u/>
            <sz val="8"/>
            <color indexed="12"/>
            <rFont val="Tahoma"/>
            <family val="2"/>
          </rPr>
          <t>S</t>
        </r>
        <r>
          <rPr>
            <sz val="8"/>
            <color indexed="81"/>
            <rFont val="Tahoma"/>
            <family val="2"/>
          </rPr>
          <t xml:space="preserve">yk, </t>
        </r>
        <r>
          <rPr>
            <b/>
            <u/>
            <sz val="8"/>
            <color indexed="12"/>
            <rFont val="Tahoma"/>
            <family val="2"/>
          </rPr>
          <t>S</t>
        </r>
        <r>
          <rPr>
            <sz val="8"/>
            <color indexed="81"/>
            <rFont val="Tahoma"/>
            <family val="2"/>
          </rPr>
          <t>yke</t>
        </r>
        <r>
          <rPr>
            <b/>
            <u/>
            <sz val="8"/>
            <color indexed="12"/>
            <rFont val="Tahoma"/>
            <family val="2"/>
          </rPr>
          <t>m</t>
        </r>
        <r>
          <rPr>
            <sz val="8"/>
            <color indexed="81"/>
            <rFont val="Tahoma"/>
            <family val="2"/>
          </rPr>
          <t>elding (</t>
        </r>
        <r>
          <rPr>
            <b/>
            <sz val="8"/>
            <color indexed="12"/>
            <rFont val="Tahoma"/>
            <family val="2"/>
          </rPr>
          <t>sm</t>
        </r>
        <r>
          <rPr>
            <sz val="8"/>
            <color indexed="81"/>
            <rFont val="Tahoma"/>
            <family val="2"/>
          </rPr>
          <t xml:space="preserve">)
                </t>
        </r>
        <r>
          <rPr>
            <b/>
            <sz val="8"/>
            <color indexed="81"/>
            <rFont val="Tahoma"/>
            <family val="2"/>
          </rPr>
          <t xml:space="preserve">- ved permisjon: </t>
        </r>
        <r>
          <rPr>
            <sz val="8"/>
            <color indexed="81"/>
            <rFont val="Tahoma"/>
            <family val="2"/>
          </rPr>
          <t xml:space="preserve"> Sykt barn/-passer (</t>
        </r>
        <r>
          <rPr>
            <b/>
            <sz val="8"/>
            <color indexed="12"/>
            <rFont val="Tahoma"/>
            <family val="2"/>
          </rPr>
          <t>pb</t>
        </r>
        <r>
          <rPr>
            <sz val="8"/>
            <color indexed="81"/>
            <rFont val="Tahoma"/>
            <family val="2"/>
          </rPr>
          <t>), velferd (</t>
        </r>
        <r>
          <rPr>
            <b/>
            <sz val="8"/>
            <color indexed="12"/>
            <rFont val="Tahoma"/>
            <family val="2"/>
          </rPr>
          <t>pv</t>
        </r>
        <r>
          <rPr>
            <sz val="8"/>
            <color indexed="81"/>
            <rFont val="Tahoma"/>
            <family val="2"/>
          </rPr>
          <t>) og annet (</t>
        </r>
        <r>
          <rPr>
            <b/>
            <sz val="8"/>
            <color indexed="12"/>
            <rFont val="Tahoma"/>
            <family val="2"/>
          </rPr>
          <t>pa</t>
        </r>
        <r>
          <rPr>
            <sz val="8"/>
            <color indexed="81"/>
            <rFont val="Tahoma"/>
            <family val="2"/>
          </rPr>
          <t>)</t>
        </r>
      </text>
    </comment>
    <comment ref="H6" authorId="0">
      <text>
        <r>
          <rPr>
            <sz val="8"/>
            <color indexed="81"/>
            <rFont val="Tahoma"/>
            <family val="2"/>
          </rPr>
          <t>Pause innenfor arbeidstid
(uten lønn)</t>
        </r>
        <r>
          <rPr>
            <sz val="8"/>
            <color indexed="81"/>
            <rFont val="Tahoma"/>
            <family val="2"/>
          </rPr>
          <t xml:space="preserve">
</t>
        </r>
      </text>
    </comment>
    <comment ref="I6" authorId="0">
      <text>
        <r>
          <rPr>
            <sz val="8"/>
            <color indexed="81"/>
            <rFont val="Tahoma"/>
            <family val="2"/>
          </rPr>
          <t xml:space="preserve">Midlertidig </t>
        </r>
        <r>
          <rPr>
            <i/>
            <sz val="8"/>
            <color indexed="12"/>
            <rFont val="Tahoma"/>
            <family val="2"/>
          </rPr>
          <t>redusert</t>
        </r>
        <r>
          <rPr>
            <sz val="8"/>
            <color indexed="12"/>
            <rFont val="Tahoma"/>
            <family val="2"/>
          </rPr>
          <t xml:space="preserve"> </t>
        </r>
        <r>
          <rPr>
            <sz val="8"/>
            <color indexed="81"/>
            <rFont val="Tahoma"/>
            <family val="2"/>
          </rPr>
          <t>arbeidstid
(iht. delvis sykemelding/permisjon)</t>
        </r>
      </text>
    </comment>
    <comment ref="J6" authorId="1">
      <text>
        <r>
          <rPr>
            <b/>
            <i/>
            <sz val="8"/>
            <color indexed="81"/>
            <rFont val="Tahoma"/>
            <family val="2"/>
          </rPr>
          <t>Status</t>
        </r>
        <r>
          <rPr>
            <b/>
            <sz val="8"/>
            <color indexed="81"/>
            <rFont val="Tahoma"/>
            <family val="2"/>
          </rPr>
          <t xml:space="preserve">
</t>
        </r>
        <r>
          <rPr>
            <sz val="8"/>
            <color indexed="81"/>
            <rFont val="Tahoma"/>
            <family val="2"/>
          </rPr>
          <t>For detaljer, se nederst på siden</t>
        </r>
        <r>
          <rPr>
            <sz val="8"/>
            <color indexed="81"/>
            <rFont val="Tahoma"/>
            <family val="2"/>
          </rPr>
          <t xml:space="preserve">
</t>
        </r>
      </text>
    </comment>
    <comment ref="H44" authorId="1">
      <text>
        <r>
          <rPr>
            <sz val="8"/>
            <color indexed="81"/>
            <rFont val="Tahoma"/>
            <family val="2"/>
          </rPr>
          <t>Dager med sommertid</t>
        </r>
      </text>
    </comment>
  </commentList>
</comments>
</file>

<file path=xl/comments15.xml><?xml version="1.0" encoding="utf-8"?>
<comments xmlns="http://schemas.openxmlformats.org/spreadsheetml/2006/main">
  <authors>
    <author>eikg</author>
  </authors>
  <commentList>
    <comment ref="C8" authorId="0">
      <text>
        <r>
          <rPr>
            <b/>
            <sz val="8"/>
            <color indexed="81"/>
            <rFont val="Tahoma"/>
            <family val="2"/>
          </rPr>
          <t xml:space="preserve">
Egenmelding kan ikke nyttes før arbeidstakeren har vært ansatt hos sin arbeidsgiver i 2 mnd. Ved midlertidig avbrudd av arb.forholdet på 2 uker (permisjon mv.), kan egenmelding først nyttes etter at arbeidstakeren igjen har vært i arbeid i to måneder. Egenmelding kan likevel nyttes når vedkommende har vært i arbeid i to uker etter avbrudd, dersom dette skyldes permittering, permisjon i forbindelse med svangerskap, fødsel, adopsjon, barns og andre nære pårørendes sykdom, eller militær- eller siviltjeneste.</t>
        </r>
        <r>
          <rPr>
            <sz val="8"/>
            <color indexed="81"/>
            <rFont val="Tahoma"/>
            <family val="2"/>
          </rPr>
          <t xml:space="preserve">
</t>
        </r>
      </text>
    </comment>
    <comment ref="C10" authorId="0">
      <text>
        <r>
          <rPr>
            <b/>
            <sz val="8"/>
            <color indexed="81"/>
            <rFont val="Tahoma"/>
            <family val="2"/>
          </rPr>
          <t xml:space="preserve">
Arbeidstakeren plikter å gi arb.giver melding om sykefraværet så snart som mulig, og senest første fraværsdag innen arbeidstiden slutt. Denne meldeplikt gjelder selv om det foreligger sykemelding fra lege fra første dag. Retten til sykepenger inntrer først fra den dag melding blir gitt.</t>
        </r>
        <r>
          <rPr>
            <sz val="8"/>
            <color indexed="81"/>
            <rFont val="Tahoma"/>
            <family val="2"/>
          </rPr>
          <t xml:space="preserve">
</t>
        </r>
      </text>
    </comment>
    <comment ref="I10" authorId="0">
      <text>
        <r>
          <rPr>
            <b/>
            <sz val="8"/>
            <color indexed="81"/>
            <rFont val="Tahoma"/>
            <family val="2"/>
          </rPr>
          <t>På helge- og høytidsdager og påskeaften samt etter kl. 12.00 på pinse-, jul- og nyttårsaften og onsdag før skjærtorsdag.</t>
        </r>
        <r>
          <rPr>
            <sz val="8"/>
            <color indexed="81"/>
            <rFont val="Tahoma"/>
            <family val="2"/>
          </rPr>
          <t xml:space="preserve">
</t>
        </r>
      </text>
    </comment>
    <comment ref="C12" authorId="0">
      <text>
        <r>
          <rPr>
            <b/>
            <sz val="8"/>
            <color indexed="81"/>
            <rFont val="Tahoma"/>
            <family val="2"/>
          </rPr>
          <t xml:space="preserve">
Egenmelding kan nyttes for inntil 8 kalenderdager om gangen regnet fra den første dagen arb.takeren er borte fra arbeidet pga. sykdom. Ved nytt sykefravær innen 16 kalenderdager medregnes tidligere egenmeldingsdager. Dette betyr at dersom en arb.taker har benyttet 8 egenmeldingsdager må han være arbeidsfør i 16 kalenderdager før ny egenmelding kan benyttes.
NB! 
Arbeidsfrie dager telles med som egenmeldingsdager dersom arb.taker er syk både umiddelbart før og etter slike arbeidsfrie dager.</t>
        </r>
      </text>
    </comment>
    <comment ref="H12" authorId="0">
      <text>
        <r>
          <rPr>
            <b/>
            <sz val="8"/>
            <color indexed="81"/>
            <rFont val="Tahoma"/>
            <family val="2"/>
          </rPr>
          <t>1. Mellom kl. 21.00 og kl. 06.00.
     Påbegynt før kl. 06.00 til arbeidstidens begynnelse
2. Lørdager og søndager
3. Etter ordinære arbeidstid på dager før helgedager</t>
        </r>
      </text>
    </comment>
    <comment ref="J12" authorId="0">
      <text>
        <r>
          <rPr>
            <b/>
            <sz val="8"/>
            <color indexed="81"/>
            <rFont val="Tahoma"/>
            <family val="2"/>
          </rPr>
          <t>1. For overtidsarbeid som sammenlagt overstiger 4 timer utført umiddelbart før eller etter ordinært skift.
2. For overtidsarbeid utført til andre tider enn de som framgår av HTA pkt. 6.6.1 og 6.6.2.</t>
        </r>
        <r>
          <rPr>
            <sz val="8"/>
            <color indexed="81"/>
            <rFont val="Tahoma"/>
            <family val="2"/>
          </rPr>
          <t xml:space="preserve">
</t>
        </r>
      </text>
    </comment>
    <comment ref="C14" authorId="0">
      <text>
        <r>
          <rPr>
            <b/>
            <sz val="8"/>
            <color indexed="81"/>
            <rFont val="Tahoma"/>
            <family val="2"/>
          </rPr>
          <t xml:space="preserve">
Egenmelding kan ikke nyttes når arb.taker har fått sykepenger av arb.giver i en full arbeidsgiverperiode (16 kalenderdager) og så blir syk igjen før han har gjenopptatt arbeidet og vært arbeidsfør i 16 sammenhengende kalenderdager. Egenmelding kan heller ikke benyttes umiddelbart etter en sykemelding (forlengelse av samme sykefravær).</t>
        </r>
      </text>
    </comment>
    <comment ref="H14" authorId="0">
      <text>
        <r>
          <rPr>
            <b/>
            <sz val="8"/>
            <color indexed="81"/>
            <rFont val="Tahoma"/>
            <family val="2"/>
          </rPr>
          <t>Andre tidspunkt enn nevnt over</t>
        </r>
        <r>
          <rPr>
            <sz val="8"/>
            <color indexed="81"/>
            <rFont val="Tahoma"/>
            <family val="2"/>
          </rPr>
          <t xml:space="preserve">
</t>
        </r>
      </text>
    </comment>
    <comment ref="J14" authorId="0">
      <text>
        <r>
          <rPr>
            <b/>
            <sz val="8"/>
            <color indexed="81"/>
            <rFont val="Tahoma"/>
            <family val="2"/>
          </rPr>
          <t>1. For overtidsarbeid utført de 2 første timer umiddelbart før det ordinære skift begynner.
2. For overtidsarbeid utført de 4 første timer umiddelbart etter det ordinære skift slutter, jf. HTA pkt. 6.6.3.
3. For overtidsarbeid i forbindelse med forskjøvet arbeidstid forskyves tidspunktet for 100 % tillegget tilsvarende.</t>
        </r>
        <r>
          <rPr>
            <sz val="8"/>
            <color indexed="81"/>
            <rFont val="Tahoma"/>
            <family val="2"/>
          </rPr>
          <t xml:space="preserve">
</t>
        </r>
      </text>
    </comment>
    <comment ref="C16" authorId="0">
      <text>
        <r>
          <rPr>
            <b/>
            <sz val="8"/>
            <color indexed="81"/>
            <rFont val="Tahoma"/>
            <family val="2"/>
          </rPr>
          <t xml:space="preserve">
Sykemelding fra lege må foreligge fra og med den første dagen arb.takeren skulle vært i arbeid etter en eventuell egen-meldingsperiode. Hvis ikke slik melding foreligger fra nevnte dag, tapes også retten til sykepenger for egenmeldingsdagene og denne retten inntrer først fra den dag det er søkt lege. Det er i tillegg en forutsetning for rett til sykepenger at arb.taker sender legeerklæring til arb.giveren innen to uker regnet fra den dag arb.giveren kan kreve at lege søkes.</t>
        </r>
      </text>
    </comment>
    <comment ref="C18" authorId="0">
      <text>
        <r>
          <rPr>
            <b/>
            <sz val="8"/>
            <color indexed="81"/>
            <rFont val="Tahoma"/>
            <family val="2"/>
          </rPr>
          <t xml:space="preserve">
Dersom en arb.taker har hatt 24 egenmeldingsdager i løpet av de siste 12 måneder, (begrenset til 8 kalenderdager pr sykdomstilfelle), må arb.takeren ved fremtidige fravær  levere sykemelding fra lege fra første sykedag.</t>
        </r>
      </text>
    </comment>
    <comment ref="C21" authorId="0">
      <text>
        <r>
          <rPr>
            <b/>
            <sz val="8"/>
            <color indexed="81"/>
            <rFont val="Tahoma"/>
            <family val="2"/>
          </rPr>
          <t xml:space="preserve">
Retten til permisjon gjelder ut det kalenderår barnet fyller 12 år (18 år for kronisk sykt eller funksjonshemmet barn). Retten til fri er begrenset til 10 dager pr kalenderår (20 dg for enslig forsørger).
Arb.taker med omsorg for mer enn to barn under 12 år, har rett til 15 dager pr kalenderår (30 dg for enslig forsørger).
Arb.taker med omsorg for kronisk sykt eller funksjonshemmet barn under 18 år (gjelder ut kalenderåret), har rett til permisjon i 20 dg. pr kalenderår (40 dg for enslig forsørger).
Betalingsretten er regulert i folketrygdlovens kapittel 9.
Omsorgspenger kompenserer inntektstap ved fravær som skyldes nødvendig tilsyn og pleie av sykt barn, sykdom hos barnepasser eller pass av barn når barnepasser følger annet barn til utredning eller til innleggelse i institusjon.</t>
        </r>
      </text>
    </comment>
    <comment ref="C23" authorId="0">
      <text>
        <r>
          <rPr>
            <b/>
            <sz val="8"/>
            <color indexed="81"/>
            <rFont val="Tahoma"/>
            <family val="2"/>
          </rPr>
          <t xml:space="preserve">
Arbeidstakere som har rett til omsorgspenger ved barns eller barnepassers sykdom, kan benytte egenmelding ovenfor arb.giver når arbeidsforholdet har vart i 14 dager. Egenmelding kan nyttes for inntil 3 dager om gangen. Fra og med den 4. kalenderdagen må arbeidstakeren legge frem legeerklæring for barnet eller barnepasseren.
</t>
        </r>
      </text>
    </comment>
    <comment ref="C25" authorId="0">
      <text>
        <r>
          <rPr>
            <b/>
            <sz val="8"/>
            <color indexed="81"/>
            <rFont val="Tahoma"/>
            <family val="2"/>
          </rPr>
          <t xml:space="preserve">
Dersom arb.giver har rimelig grunn til å tro at en arb.taker har krevd omsorgspenger uten at fraværet skyldes barns eller barnepassers sykdom, kan arb.giver ved fremtidige fravær bestemme at erklæring fra lege må foreligge fra første fraværsdag.</t>
        </r>
      </text>
    </comment>
  </commentList>
</comments>
</file>

<file path=xl/comments2.xml><?xml version="1.0" encoding="utf-8"?>
<comments xmlns="http://schemas.openxmlformats.org/spreadsheetml/2006/main">
  <authors>
    <author>eikg</author>
  </authors>
  <commentList>
    <comment ref="G17" authorId="0">
      <text>
        <r>
          <rPr>
            <b/>
            <sz val="8"/>
            <color indexed="81"/>
            <rFont val="Tahoma"/>
            <family val="2"/>
          </rPr>
          <t>Ved flere hendelser på samme dag i året, vil KUN den første vises !</t>
        </r>
        <r>
          <rPr>
            <sz val="8"/>
            <color indexed="81"/>
            <rFont val="Tahoma"/>
            <family val="2"/>
          </rPr>
          <t xml:space="preserve">
</t>
        </r>
      </text>
    </comment>
  </commentList>
</comments>
</file>

<file path=xl/comments3.xml><?xml version="1.0" encoding="utf-8"?>
<comments xmlns="http://schemas.openxmlformats.org/spreadsheetml/2006/main">
  <authors>
    <author>Eikland</author>
    <author>eikg</author>
  </authors>
  <commentList>
    <comment ref="K5" authorId="0">
      <text>
        <r>
          <rPr>
            <sz val="8"/>
            <color indexed="81"/>
            <rFont val="Tahoma"/>
            <family val="2"/>
          </rPr>
          <t>Disse 2 kolonnene kan brukes til
overtid, prosjekt, kjøring eller lignende.
(</t>
        </r>
        <r>
          <rPr>
            <i/>
            <sz val="8"/>
            <color indexed="81"/>
            <rFont val="Tahoma"/>
            <family val="2"/>
          </rPr>
          <t>Har ingen kobling mot andre felt</t>
        </r>
        <r>
          <rPr>
            <sz val="8"/>
            <color indexed="81"/>
            <rFont val="Tahoma"/>
            <family val="2"/>
          </rPr>
          <t>)</t>
        </r>
      </text>
    </comment>
    <comment ref="C6" authorId="1">
      <text>
        <r>
          <rPr>
            <b/>
            <sz val="8"/>
            <color indexed="81"/>
            <rFont val="Tahoma"/>
            <family val="2"/>
          </rPr>
          <t xml:space="preserve">Føring av fravær hel dag:  </t>
        </r>
        <r>
          <rPr>
            <b/>
            <u/>
            <sz val="8"/>
            <color indexed="12"/>
            <rFont val="Tahoma"/>
            <family val="2"/>
          </rPr>
          <t>Fl</t>
        </r>
        <r>
          <rPr>
            <sz val="8"/>
            <color indexed="81"/>
            <rFont val="Tahoma"/>
            <family val="2"/>
          </rPr>
          <t xml:space="preserve">eksi, </t>
        </r>
        <r>
          <rPr>
            <b/>
            <u/>
            <sz val="8"/>
            <color indexed="12"/>
            <rFont val="Tahoma"/>
            <family val="2"/>
          </rPr>
          <t>Fe</t>
        </r>
        <r>
          <rPr>
            <sz val="8"/>
            <color indexed="81"/>
            <rFont val="Tahoma"/>
            <family val="2"/>
          </rPr>
          <t xml:space="preserve">rie, </t>
        </r>
        <r>
          <rPr>
            <b/>
            <u/>
            <sz val="8"/>
            <color indexed="12"/>
            <rFont val="Tahoma"/>
            <family val="2"/>
          </rPr>
          <t>S</t>
        </r>
        <r>
          <rPr>
            <sz val="8"/>
            <color indexed="81"/>
            <rFont val="Tahoma"/>
            <family val="2"/>
          </rPr>
          <t xml:space="preserve">yk, </t>
        </r>
        <r>
          <rPr>
            <b/>
            <u/>
            <sz val="8"/>
            <color indexed="12"/>
            <rFont val="Tahoma"/>
            <family val="2"/>
          </rPr>
          <t>S</t>
        </r>
        <r>
          <rPr>
            <sz val="8"/>
            <color indexed="81"/>
            <rFont val="Tahoma"/>
            <family val="2"/>
          </rPr>
          <t>yke</t>
        </r>
        <r>
          <rPr>
            <b/>
            <u/>
            <sz val="8"/>
            <color indexed="12"/>
            <rFont val="Tahoma"/>
            <family val="2"/>
          </rPr>
          <t>m</t>
        </r>
        <r>
          <rPr>
            <sz val="8"/>
            <color indexed="81"/>
            <rFont val="Tahoma"/>
            <family val="2"/>
          </rPr>
          <t>elding (</t>
        </r>
        <r>
          <rPr>
            <b/>
            <sz val="8"/>
            <color indexed="12"/>
            <rFont val="Tahoma"/>
            <family val="2"/>
          </rPr>
          <t>sm</t>
        </r>
        <r>
          <rPr>
            <sz val="8"/>
            <color indexed="81"/>
            <rFont val="Tahoma"/>
            <family val="2"/>
          </rPr>
          <t xml:space="preserve">)
                </t>
        </r>
        <r>
          <rPr>
            <b/>
            <sz val="8"/>
            <color indexed="81"/>
            <rFont val="Tahoma"/>
            <family val="2"/>
          </rPr>
          <t xml:space="preserve">- ved permisjon: </t>
        </r>
        <r>
          <rPr>
            <sz val="8"/>
            <color indexed="81"/>
            <rFont val="Tahoma"/>
            <family val="2"/>
          </rPr>
          <t xml:space="preserve"> Sykt barn/-passer (</t>
        </r>
        <r>
          <rPr>
            <b/>
            <sz val="8"/>
            <color indexed="12"/>
            <rFont val="Tahoma"/>
            <family val="2"/>
          </rPr>
          <t>pb</t>
        </r>
        <r>
          <rPr>
            <sz val="8"/>
            <color indexed="81"/>
            <rFont val="Tahoma"/>
            <family val="2"/>
          </rPr>
          <t>), velferd (</t>
        </r>
        <r>
          <rPr>
            <b/>
            <sz val="8"/>
            <color indexed="12"/>
            <rFont val="Tahoma"/>
            <family val="2"/>
          </rPr>
          <t>pv</t>
        </r>
        <r>
          <rPr>
            <sz val="8"/>
            <color indexed="81"/>
            <rFont val="Tahoma"/>
            <family val="2"/>
          </rPr>
          <t>) og annet (</t>
        </r>
        <r>
          <rPr>
            <b/>
            <sz val="8"/>
            <color indexed="12"/>
            <rFont val="Tahoma"/>
            <family val="2"/>
          </rPr>
          <t>pa</t>
        </r>
        <r>
          <rPr>
            <sz val="8"/>
            <color indexed="81"/>
            <rFont val="Tahoma"/>
            <family val="2"/>
          </rPr>
          <t>)</t>
        </r>
      </text>
    </comment>
    <comment ref="H6" authorId="0">
      <text>
        <r>
          <rPr>
            <sz val="8"/>
            <color indexed="81"/>
            <rFont val="Tahoma"/>
            <family val="2"/>
          </rPr>
          <t>Pause innenfor arbeidstid
(uten lønn)</t>
        </r>
        <r>
          <rPr>
            <sz val="8"/>
            <color indexed="81"/>
            <rFont val="Tahoma"/>
            <family val="2"/>
          </rPr>
          <t xml:space="preserve">
</t>
        </r>
      </text>
    </comment>
    <comment ref="I6" authorId="0">
      <text>
        <r>
          <rPr>
            <sz val="8"/>
            <color indexed="81"/>
            <rFont val="Tahoma"/>
            <family val="2"/>
          </rPr>
          <t xml:space="preserve">Midlertidig </t>
        </r>
        <r>
          <rPr>
            <i/>
            <sz val="8"/>
            <color indexed="12"/>
            <rFont val="Tahoma"/>
            <family val="2"/>
          </rPr>
          <t>redusert</t>
        </r>
        <r>
          <rPr>
            <sz val="8"/>
            <color indexed="12"/>
            <rFont val="Tahoma"/>
            <family val="2"/>
          </rPr>
          <t xml:space="preserve"> </t>
        </r>
        <r>
          <rPr>
            <sz val="8"/>
            <color indexed="81"/>
            <rFont val="Tahoma"/>
            <family val="2"/>
          </rPr>
          <t>arbeidstid
(iht. delvis sykemelding/permisjon)</t>
        </r>
      </text>
    </comment>
    <comment ref="J6" authorId="1">
      <text>
        <r>
          <rPr>
            <b/>
            <i/>
            <sz val="8"/>
            <color indexed="81"/>
            <rFont val="Tahoma"/>
            <family val="2"/>
          </rPr>
          <t>Status</t>
        </r>
        <r>
          <rPr>
            <b/>
            <sz val="8"/>
            <color indexed="81"/>
            <rFont val="Tahoma"/>
            <family val="2"/>
          </rPr>
          <t xml:space="preserve">
</t>
        </r>
        <r>
          <rPr>
            <sz val="8"/>
            <color indexed="81"/>
            <rFont val="Tahoma"/>
            <family val="2"/>
          </rPr>
          <t>For detaljer, se nederst på siden</t>
        </r>
        <r>
          <rPr>
            <sz val="8"/>
            <color indexed="81"/>
            <rFont val="Tahoma"/>
            <family val="2"/>
          </rPr>
          <t xml:space="preserve">
</t>
        </r>
      </text>
    </comment>
    <comment ref="H44" authorId="1">
      <text>
        <r>
          <rPr>
            <sz val="8"/>
            <color indexed="81"/>
            <rFont val="Tahoma"/>
            <family val="2"/>
          </rPr>
          <t>Dager med sommertid</t>
        </r>
      </text>
    </comment>
  </commentList>
</comments>
</file>

<file path=xl/comments4.xml><?xml version="1.0" encoding="utf-8"?>
<comments xmlns="http://schemas.openxmlformats.org/spreadsheetml/2006/main">
  <authors>
    <author>Eikland</author>
    <author>eikg</author>
  </authors>
  <commentList>
    <comment ref="K5" authorId="0">
      <text>
        <r>
          <rPr>
            <sz val="8"/>
            <color indexed="81"/>
            <rFont val="Tahoma"/>
            <family val="2"/>
          </rPr>
          <t>Disse 2 kolonnene kan brukes til
overtid, prosjekt, kjøring eller lignende.
(</t>
        </r>
        <r>
          <rPr>
            <i/>
            <sz val="8"/>
            <color indexed="81"/>
            <rFont val="Tahoma"/>
            <family val="2"/>
          </rPr>
          <t>Har ingen kobling mot andre felt</t>
        </r>
        <r>
          <rPr>
            <sz val="8"/>
            <color indexed="81"/>
            <rFont val="Tahoma"/>
            <family val="2"/>
          </rPr>
          <t>)</t>
        </r>
      </text>
    </comment>
    <comment ref="C6" authorId="1">
      <text>
        <r>
          <rPr>
            <b/>
            <sz val="8"/>
            <color indexed="81"/>
            <rFont val="Tahoma"/>
            <family val="2"/>
          </rPr>
          <t xml:space="preserve">Føring av fravær hel dag:  </t>
        </r>
        <r>
          <rPr>
            <b/>
            <u/>
            <sz val="8"/>
            <color indexed="12"/>
            <rFont val="Tahoma"/>
            <family val="2"/>
          </rPr>
          <t>Fl</t>
        </r>
        <r>
          <rPr>
            <sz val="8"/>
            <color indexed="81"/>
            <rFont val="Tahoma"/>
            <family val="2"/>
          </rPr>
          <t xml:space="preserve">eksi, </t>
        </r>
        <r>
          <rPr>
            <b/>
            <u/>
            <sz val="8"/>
            <color indexed="12"/>
            <rFont val="Tahoma"/>
            <family val="2"/>
          </rPr>
          <t>Fe</t>
        </r>
        <r>
          <rPr>
            <sz val="8"/>
            <color indexed="81"/>
            <rFont val="Tahoma"/>
            <family val="2"/>
          </rPr>
          <t xml:space="preserve">rie, </t>
        </r>
        <r>
          <rPr>
            <b/>
            <u/>
            <sz val="8"/>
            <color indexed="12"/>
            <rFont val="Tahoma"/>
            <family val="2"/>
          </rPr>
          <t>S</t>
        </r>
        <r>
          <rPr>
            <sz val="8"/>
            <color indexed="81"/>
            <rFont val="Tahoma"/>
            <family val="2"/>
          </rPr>
          <t xml:space="preserve">yk, </t>
        </r>
        <r>
          <rPr>
            <b/>
            <u/>
            <sz val="8"/>
            <color indexed="12"/>
            <rFont val="Tahoma"/>
            <family val="2"/>
          </rPr>
          <t>S</t>
        </r>
        <r>
          <rPr>
            <sz val="8"/>
            <color indexed="81"/>
            <rFont val="Tahoma"/>
            <family val="2"/>
          </rPr>
          <t>yke</t>
        </r>
        <r>
          <rPr>
            <b/>
            <u/>
            <sz val="8"/>
            <color indexed="12"/>
            <rFont val="Tahoma"/>
            <family val="2"/>
          </rPr>
          <t>m</t>
        </r>
        <r>
          <rPr>
            <sz val="8"/>
            <color indexed="81"/>
            <rFont val="Tahoma"/>
            <family val="2"/>
          </rPr>
          <t>elding (</t>
        </r>
        <r>
          <rPr>
            <b/>
            <sz val="8"/>
            <color indexed="12"/>
            <rFont val="Tahoma"/>
            <family val="2"/>
          </rPr>
          <t>sm</t>
        </r>
        <r>
          <rPr>
            <sz val="8"/>
            <color indexed="81"/>
            <rFont val="Tahoma"/>
            <family val="2"/>
          </rPr>
          <t xml:space="preserve">)
                </t>
        </r>
        <r>
          <rPr>
            <b/>
            <sz val="8"/>
            <color indexed="81"/>
            <rFont val="Tahoma"/>
            <family val="2"/>
          </rPr>
          <t xml:space="preserve">- ved permisjon: </t>
        </r>
        <r>
          <rPr>
            <sz val="8"/>
            <color indexed="81"/>
            <rFont val="Tahoma"/>
            <family val="2"/>
          </rPr>
          <t xml:space="preserve"> Sykt barn/-passer (</t>
        </r>
        <r>
          <rPr>
            <b/>
            <sz val="8"/>
            <color indexed="12"/>
            <rFont val="Tahoma"/>
            <family val="2"/>
          </rPr>
          <t>pb</t>
        </r>
        <r>
          <rPr>
            <sz val="8"/>
            <color indexed="81"/>
            <rFont val="Tahoma"/>
            <family val="2"/>
          </rPr>
          <t>), velferd (</t>
        </r>
        <r>
          <rPr>
            <b/>
            <sz val="8"/>
            <color indexed="12"/>
            <rFont val="Tahoma"/>
            <family val="2"/>
          </rPr>
          <t>pv</t>
        </r>
        <r>
          <rPr>
            <sz val="8"/>
            <color indexed="81"/>
            <rFont val="Tahoma"/>
            <family val="2"/>
          </rPr>
          <t>) og annet (</t>
        </r>
        <r>
          <rPr>
            <b/>
            <sz val="8"/>
            <color indexed="12"/>
            <rFont val="Tahoma"/>
            <family val="2"/>
          </rPr>
          <t>pa</t>
        </r>
        <r>
          <rPr>
            <sz val="8"/>
            <color indexed="81"/>
            <rFont val="Tahoma"/>
            <family val="2"/>
          </rPr>
          <t>)</t>
        </r>
      </text>
    </comment>
    <comment ref="H6" authorId="0">
      <text>
        <r>
          <rPr>
            <sz val="8"/>
            <color indexed="81"/>
            <rFont val="Tahoma"/>
            <family val="2"/>
          </rPr>
          <t>Pause innenfor arbeidstid
(uten lønn)</t>
        </r>
        <r>
          <rPr>
            <sz val="8"/>
            <color indexed="81"/>
            <rFont val="Tahoma"/>
            <family val="2"/>
          </rPr>
          <t xml:space="preserve">
</t>
        </r>
      </text>
    </comment>
    <comment ref="I6" authorId="0">
      <text>
        <r>
          <rPr>
            <sz val="8"/>
            <color indexed="81"/>
            <rFont val="Tahoma"/>
            <family val="2"/>
          </rPr>
          <t xml:space="preserve">Midlertidig </t>
        </r>
        <r>
          <rPr>
            <i/>
            <sz val="8"/>
            <color indexed="12"/>
            <rFont val="Tahoma"/>
            <family val="2"/>
          </rPr>
          <t>redusert</t>
        </r>
        <r>
          <rPr>
            <sz val="8"/>
            <color indexed="12"/>
            <rFont val="Tahoma"/>
            <family val="2"/>
          </rPr>
          <t xml:space="preserve"> </t>
        </r>
        <r>
          <rPr>
            <sz val="8"/>
            <color indexed="81"/>
            <rFont val="Tahoma"/>
            <family val="2"/>
          </rPr>
          <t>arbeidstid
(iht. delvis sykemelding/permisjon)</t>
        </r>
      </text>
    </comment>
    <comment ref="J6" authorId="1">
      <text>
        <r>
          <rPr>
            <b/>
            <i/>
            <sz val="8"/>
            <color indexed="81"/>
            <rFont val="Tahoma"/>
            <family val="2"/>
          </rPr>
          <t>Status</t>
        </r>
        <r>
          <rPr>
            <b/>
            <sz val="8"/>
            <color indexed="81"/>
            <rFont val="Tahoma"/>
            <family val="2"/>
          </rPr>
          <t xml:space="preserve">
</t>
        </r>
        <r>
          <rPr>
            <sz val="8"/>
            <color indexed="81"/>
            <rFont val="Tahoma"/>
            <family val="2"/>
          </rPr>
          <t>For detaljer, se nederst på siden</t>
        </r>
        <r>
          <rPr>
            <sz val="8"/>
            <color indexed="81"/>
            <rFont val="Tahoma"/>
            <family val="2"/>
          </rPr>
          <t xml:space="preserve">
</t>
        </r>
      </text>
    </comment>
    <comment ref="H42" authorId="1">
      <text>
        <r>
          <rPr>
            <sz val="8"/>
            <color indexed="81"/>
            <rFont val="Tahoma"/>
            <family val="2"/>
          </rPr>
          <t>Dager med sommertid</t>
        </r>
      </text>
    </comment>
  </commentList>
</comments>
</file>

<file path=xl/comments5.xml><?xml version="1.0" encoding="utf-8"?>
<comments xmlns="http://schemas.openxmlformats.org/spreadsheetml/2006/main">
  <authors>
    <author>Eikland</author>
    <author>eikg</author>
  </authors>
  <commentList>
    <comment ref="K5" authorId="0">
      <text>
        <r>
          <rPr>
            <sz val="8"/>
            <color indexed="81"/>
            <rFont val="Tahoma"/>
            <family val="2"/>
          </rPr>
          <t>Disse 2 kolonnene kan brukes til
overtid, prosjekt, kjøring eller lignende.
(</t>
        </r>
        <r>
          <rPr>
            <i/>
            <sz val="8"/>
            <color indexed="81"/>
            <rFont val="Tahoma"/>
            <family val="2"/>
          </rPr>
          <t>Har ingen kobling mot andre felt</t>
        </r>
        <r>
          <rPr>
            <sz val="8"/>
            <color indexed="81"/>
            <rFont val="Tahoma"/>
            <family val="2"/>
          </rPr>
          <t>)</t>
        </r>
      </text>
    </comment>
    <comment ref="C6" authorId="1">
      <text>
        <r>
          <rPr>
            <b/>
            <sz val="8"/>
            <color indexed="81"/>
            <rFont val="Tahoma"/>
            <family val="2"/>
          </rPr>
          <t xml:space="preserve">Føring av fravær hel dag:  </t>
        </r>
        <r>
          <rPr>
            <b/>
            <u/>
            <sz val="8"/>
            <color indexed="12"/>
            <rFont val="Tahoma"/>
            <family val="2"/>
          </rPr>
          <t>Fl</t>
        </r>
        <r>
          <rPr>
            <sz val="8"/>
            <color indexed="81"/>
            <rFont val="Tahoma"/>
            <family val="2"/>
          </rPr>
          <t xml:space="preserve">eksi, </t>
        </r>
        <r>
          <rPr>
            <b/>
            <u/>
            <sz val="8"/>
            <color indexed="12"/>
            <rFont val="Tahoma"/>
            <family val="2"/>
          </rPr>
          <t>Fe</t>
        </r>
        <r>
          <rPr>
            <sz val="8"/>
            <color indexed="81"/>
            <rFont val="Tahoma"/>
            <family val="2"/>
          </rPr>
          <t xml:space="preserve">rie, </t>
        </r>
        <r>
          <rPr>
            <b/>
            <u/>
            <sz val="8"/>
            <color indexed="12"/>
            <rFont val="Tahoma"/>
            <family val="2"/>
          </rPr>
          <t>S</t>
        </r>
        <r>
          <rPr>
            <sz val="8"/>
            <color indexed="81"/>
            <rFont val="Tahoma"/>
            <family val="2"/>
          </rPr>
          <t xml:space="preserve">yk, </t>
        </r>
        <r>
          <rPr>
            <b/>
            <u/>
            <sz val="8"/>
            <color indexed="12"/>
            <rFont val="Tahoma"/>
            <family val="2"/>
          </rPr>
          <t>S</t>
        </r>
        <r>
          <rPr>
            <sz val="8"/>
            <color indexed="81"/>
            <rFont val="Tahoma"/>
            <family val="2"/>
          </rPr>
          <t>yke</t>
        </r>
        <r>
          <rPr>
            <b/>
            <u/>
            <sz val="8"/>
            <color indexed="12"/>
            <rFont val="Tahoma"/>
            <family val="2"/>
          </rPr>
          <t>m</t>
        </r>
        <r>
          <rPr>
            <sz val="8"/>
            <color indexed="81"/>
            <rFont val="Tahoma"/>
            <family val="2"/>
          </rPr>
          <t>elding (</t>
        </r>
        <r>
          <rPr>
            <b/>
            <sz val="8"/>
            <color indexed="12"/>
            <rFont val="Tahoma"/>
            <family val="2"/>
          </rPr>
          <t>sm</t>
        </r>
        <r>
          <rPr>
            <sz val="8"/>
            <color indexed="81"/>
            <rFont val="Tahoma"/>
            <family val="2"/>
          </rPr>
          <t xml:space="preserve">)
                </t>
        </r>
        <r>
          <rPr>
            <b/>
            <sz val="8"/>
            <color indexed="81"/>
            <rFont val="Tahoma"/>
            <family val="2"/>
          </rPr>
          <t xml:space="preserve">- ved permisjon: </t>
        </r>
        <r>
          <rPr>
            <sz val="8"/>
            <color indexed="81"/>
            <rFont val="Tahoma"/>
            <family val="2"/>
          </rPr>
          <t xml:space="preserve"> Sykt barn/-passer (</t>
        </r>
        <r>
          <rPr>
            <b/>
            <sz val="8"/>
            <color indexed="12"/>
            <rFont val="Tahoma"/>
            <family val="2"/>
          </rPr>
          <t>pb</t>
        </r>
        <r>
          <rPr>
            <sz val="8"/>
            <color indexed="81"/>
            <rFont val="Tahoma"/>
            <family val="2"/>
          </rPr>
          <t>), velferd (</t>
        </r>
        <r>
          <rPr>
            <b/>
            <sz val="8"/>
            <color indexed="12"/>
            <rFont val="Tahoma"/>
            <family val="2"/>
          </rPr>
          <t>pv</t>
        </r>
        <r>
          <rPr>
            <sz val="8"/>
            <color indexed="81"/>
            <rFont val="Tahoma"/>
            <family val="2"/>
          </rPr>
          <t>) og annet (</t>
        </r>
        <r>
          <rPr>
            <b/>
            <sz val="8"/>
            <color indexed="12"/>
            <rFont val="Tahoma"/>
            <family val="2"/>
          </rPr>
          <t>pa</t>
        </r>
        <r>
          <rPr>
            <sz val="8"/>
            <color indexed="81"/>
            <rFont val="Tahoma"/>
            <family val="2"/>
          </rPr>
          <t>)</t>
        </r>
      </text>
    </comment>
    <comment ref="H6" authorId="0">
      <text>
        <r>
          <rPr>
            <sz val="8"/>
            <color indexed="81"/>
            <rFont val="Tahoma"/>
            <family val="2"/>
          </rPr>
          <t>Pause innenfor arbeidstid
(uten lønn)</t>
        </r>
        <r>
          <rPr>
            <sz val="8"/>
            <color indexed="81"/>
            <rFont val="Tahoma"/>
            <family val="2"/>
          </rPr>
          <t xml:space="preserve">
</t>
        </r>
      </text>
    </comment>
    <comment ref="I6" authorId="0">
      <text>
        <r>
          <rPr>
            <sz val="8"/>
            <color indexed="81"/>
            <rFont val="Tahoma"/>
            <family val="2"/>
          </rPr>
          <t xml:space="preserve">Midlertidig </t>
        </r>
        <r>
          <rPr>
            <i/>
            <sz val="8"/>
            <color indexed="12"/>
            <rFont val="Tahoma"/>
            <family val="2"/>
          </rPr>
          <t>redusert</t>
        </r>
        <r>
          <rPr>
            <sz val="8"/>
            <color indexed="12"/>
            <rFont val="Tahoma"/>
            <family val="2"/>
          </rPr>
          <t xml:space="preserve"> </t>
        </r>
        <r>
          <rPr>
            <sz val="8"/>
            <color indexed="81"/>
            <rFont val="Tahoma"/>
            <family val="2"/>
          </rPr>
          <t>arbeidstid
(iht. delvis sykemelding/permisjon)</t>
        </r>
      </text>
    </comment>
    <comment ref="J6" authorId="1">
      <text>
        <r>
          <rPr>
            <b/>
            <i/>
            <sz val="8"/>
            <color indexed="81"/>
            <rFont val="Tahoma"/>
            <family val="2"/>
          </rPr>
          <t>Status</t>
        </r>
        <r>
          <rPr>
            <b/>
            <sz val="8"/>
            <color indexed="81"/>
            <rFont val="Tahoma"/>
            <family val="2"/>
          </rPr>
          <t xml:space="preserve">
</t>
        </r>
        <r>
          <rPr>
            <sz val="8"/>
            <color indexed="81"/>
            <rFont val="Tahoma"/>
            <family val="2"/>
          </rPr>
          <t>For detaljer, se nederst på siden</t>
        </r>
        <r>
          <rPr>
            <sz val="8"/>
            <color indexed="81"/>
            <rFont val="Tahoma"/>
            <family val="2"/>
          </rPr>
          <t xml:space="preserve">
</t>
        </r>
      </text>
    </comment>
    <comment ref="H44" authorId="1">
      <text>
        <r>
          <rPr>
            <sz val="8"/>
            <color indexed="81"/>
            <rFont val="Tahoma"/>
            <family val="2"/>
          </rPr>
          <t>Dager med sommertid</t>
        </r>
      </text>
    </comment>
  </commentList>
</comments>
</file>

<file path=xl/comments6.xml><?xml version="1.0" encoding="utf-8"?>
<comments xmlns="http://schemas.openxmlformats.org/spreadsheetml/2006/main">
  <authors>
    <author>Eikland</author>
    <author>eikg</author>
  </authors>
  <commentList>
    <comment ref="K5" authorId="0">
      <text>
        <r>
          <rPr>
            <sz val="8"/>
            <color indexed="81"/>
            <rFont val="Tahoma"/>
            <family val="2"/>
          </rPr>
          <t>Disse 2 kolonnene kan brukes til
overtid, prosjekt, kjøring eller lignende.
(</t>
        </r>
        <r>
          <rPr>
            <i/>
            <sz val="8"/>
            <color indexed="81"/>
            <rFont val="Tahoma"/>
            <family val="2"/>
          </rPr>
          <t>Har ingen kobling mot andre felt</t>
        </r>
        <r>
          <rPr>
            <sz val="8"/>
            <color indexed="81"/>
            <rFont val="Tahoma"/>
            <family val="2"/>
          </rPr>
          <t>)</t>
        </r>
      </text>
    </comment>
    <comment ref="C6" authorId="1">
      <text>
        <r>
          <rPr>
            <b/>
            <sz val="8"/>
            <color indexed="81"/>
            <rFont val="Tahoma"/>
            <family val="2"/>
          </rPr>
          <t xml:space="preserve">Føring av fravær hel dag:  </t>
        </r>
        <r>
          <rPr>
            <b/>
            <u/>
            <sz val="8"/>
            <color indexed="12"/>
            <rFont val="Tahoma"/>
            <family val="2"/>
          </rPr>
          <t>Fl</t>
        </r>
        <r>
          <rPr>
            <sz val="8"/>
            <color indexed="81"/>
            <rFont val="Tahoma"/>
            <family val="2"/>
          </rPr>
          <t xml:space="preserve">eksi, </t>
        </r>
        <r>
          <rPr>
            <b/>
            <u/>
            <sz val="8"/>
            <color indexed="12"/>
            <rFont val="Tahoma"/>
            <family val="2"/>
          </rPr>
          <t>Fe</t>
        </r>
        <r>
          <rPr>
            <sz val="8"/>
            <color indexed="81"/>
            <rFont val="Tahoma"/>
            <family val="2"/>
          </rPr>
          <t xml:space="preserve">rie, </t>
        </r>
        <r>
          <rPr>
            <b/>
            <u/>
            <sz val="8"/>
            <color indexed="12"/>
            <rFont val="Tahoma"/>
            <family val="2"/>
          </rPr>
          <t>S</t>
        </r>
        <r>
          <rPr>
            <sz val="8"/>
            <color indexed="81"/>
            <rFont val="Tahoma"/>
            <family val="2"/>
          </rPr>
          <t xml:space="preserve">yk, </t>
        </r>
        <r>
          <rPr>
            <b/>
            <u/>
            <sz val="8"/>
            <color indexed="12"/>
            <rFont val="Tahoma"/>
            <family val="2"/>
          </rPr>
          <t>S</t>
        </r>
        <r>
          <rPr>
            <sz val="8"/>
            <color indexed="81"/>
            <rFont val="Tahoma"/>
            <family val="2"/>
          </rPr>
          <t>yke</t>
        </r>
        <r>
          <rPr>
            <b/>
            <u/>
            <sz val="8"/>
            <color indexed="12"/>
            <rFont val="Tahoma"/>
            <family val="2"/>
          </rPr>
          <t>m</t>
        </r>
        <r>
          <rPr>
            <sz val="8"/>
            <color indexed="81"/>
            <rFont val="Tahoma"/>
            <family val="2"/>
          </rPr>
          <t>elding (</t>
        </r>
        <r>
          <rPr>
            <b/>
            <sz val="8"/>
            <color indexed="12"/>
            <rFont val="Tahoma"/>
            <family val="2"/>
          </rPr>
          <t>sm</t>
        </r>
        <r>
          <rPr>
            <sz val="8"/>
            <color indexed="81"/>
            <rFont val="Tahoma"/>
            <family val="2"/>
          </rPr>
          <t xml:space="preserve">)
                </t>
        </r>
        <r>
          <rPr>
            <b/>
            <sz val="8"/>
            <color indexed="81"/>
            <rFont val="Tahoma"/>
            <family val="2"/>
          </rPr>
          <t xml:space="preserve">- ved permisjon: </t>
        </r>
        <r>
          <rPr>
            <sz val="8"/>
            <color indexed="81"/>
            <rFont val="Tahoma"/>
            <family val="2"/>
          </rPr>
          <t xml:space="preserve"> Sykt barn/-passer (</t>
        </r>
        <r>
          <rPr>
            <b/>
            <sz val="8"/>
            <color indexed="12"/>
            <rFont val="Tahoma"/>
            <family val="2"/>
          </rPr>
          <t>pb</t>
        </r>
        <r>
          <rPr>
            <sz val="8"/>
            <color indexed="81"/>
            <rFont val="Tahoma"/>
            <family val="2"/>
          </rPr>
          <t>), velferd (</t>
        </r>
        <r>
          <rPr>
            <b/>
            <sz val="8"/>
            <color indexed="12"/>
            <rFont val="Tahoma"/>
            <family val="2"/>
          </rPr>
          <t>pv</t>
        </r>
        <r>
          <rPr>
            <sz val="8"/>
            <color indexed="81"/>
            <rFont val="Tahoma"/>
            <family val="2"/>
          </rPr>
          <t>) og annet (</t>
        </r>
        <r>
          <rPr>
            <b/>
            <sz val="8"/>
            <color indexed="12"/>
            <rFont val="Tahoma"/>
            <family val="2"/>
          </rPr>
          <t>pa</t>
        </r>
        <r>
          <rPr>
            <sz val="8"/>
            <color indexed="81"/>
            <rFont val="Tahoma"/>
            <family val="2"/>
          </rPr>
          <t>)</t>
        </r>
      </text>
    </comment>
    <comment ref="H6" authorId="0">
      <text>
        <r>
          <rPr>
            <sz val="8"/>
            <color indexed="81"/>
            <rFont val="Tahoma"/>
            <family val="2"/>
          </rPr>
          <t>Pause innenfor arbeidstid
(uten lønn)</t>
        </r>
        <r>
          <rPr>
            <sz val="8"/>
            <color indexed="81"/>
            <rFont val="Tahoma"/>
            <family val="2"/>
          </rPr>
          <t xml:space="preserve">
</t>
        </r>
      </text>
    </comment>
    <comment ref="I6" authorId="0">
      <text>
        <r>
          <rPr>
            <sz val="8"/>
            <color indexed="81"/>
            <rFont val="Tahoma"/>
            <family val="2"/>
          </rPr>
          <t xml:space="preserve">Midlertidig </t>
        </r>
        <r>
          <rPr>
            <i/>
            <sz val="8"/>
            <color indexed="12"/>
            <rFont val="Tahoma"/>
            <family val="2"/>
          </rPr>
          <t>redusert</t>
        </r>
        <r>
          <rPr>
            <sz val="8"/>
            <color indexed="12"/>
            <rFont val="Tahoma"/>
            <family val="2"/>
          </rPr>
          <t xml:space="preserve"> </t>
        </r>
        <r>
          <rPr>
            <sz val="8"/>
            <color indexed="81"/>
            <rFont val="Tahoma"/>
            <family val="2"/>
          </rPr>
          <t>arbeidstid
(iht. delvis sykemelding/permisjon)</t>
        </r>
      </text>
    </comment>
    <comment ref="J6" authorId="1">
      <text>
        <r>
          <rPr>
            <b/>
            <i/>
            <sz val="8"/>
            <color indexed="81"/>
            <rFont val="Tahoma"/>
            <family val="2"/>
          </rPr>
          <t>Status</t>
        </r>
        <r>
          <rPr>
            <b/>
            <sz val="8"/>
            <color indexed="81"/>
            <rFont val="Tahoma"/>
            <family val="2"/>
          </rPr>
          <t xml:space="preserve">
</t>
        </r>
        <r>
          <rPr>
            <sz val="8"/>
            <color indexed="81"/>
            <rFont val="Tahoma"/>
            <family val="2"/>
          </rPr>
          <t>For detaljer, se nederst på siden</t>
        </r>
        <r>
          <rPr>
            <sz val="8"/>
            <color indexed="81"/>
            <rFont val="Tahoma"/>
            <family val="2"/>
          </rPr>
          <t xml:space="preserve">
</t>
        </r>
      </text>
    </comment>
    <comment ref="H43" authorId="1">
      <text>
        <r>
          <rPr>
            <sz val="8"/>
            <color indexed="81"/>
            <rFont val="Tahoma"/>
            <family val="2"/>
          </rPr>
          <t>Dager med sommertid</t>
        </r>
      </text>
    </comment>
  </commentList>
</comments>
</file>

<file path=xl/comments7.xml><?xml version="1.0" encoding="utf-8"?>
<comments xmlns="http://schemas.openxmlformats.org/spreadsheetml/2006/main">
  <authors>
    <author>Eikland</author>
    <author>eikg</author>
  </authors>
  <commentList>
    <comment ref="K5" authorId="0">
      <text>
        <r>
          <rPr>
            <sz val="8"/>
            <color indexed="81"/>
            <rFont val="Tahoma"/>
            <family val="2"/>
          </rPr>
          <t>Disse 2 kolonnene kan brukes til
overtid, prosjekt, kjøring eller lignende.
(</t>
        </r>
        <r>
          <rPr>
            <i/>
            <sz val="8"/>
            <color indexed="81"/>
            <rFont val="Tahoma"/>
            <family val="2"/>
          </rPr>
          <t>Har ingen kobling mot andre felt</t>
        </r>
        <r>
          <rPr>
            <sz val="8"/>
            <color indexed="81"/>
            <rFont val="Tahoma"/>
            <family val="2"/>
          </rPr>
          <t>)</t>
        </r>
      </text>
    </comment>
    <comment ref="C6" authorId="1">
      <text>
        <r>
          <rPr>
            <b/>
            <sz val="8"/>
            <color indexed="81"/>
            <rFont val="Tahoma"/>
            <family val="2"/>
          </rPr>
          <t xml:space="preserve">Føring av fravær hel dag:  </t>
        </r>
        <r>
          <rPr>
            <b/>
            <u/>
            <sz val="8"/>
            <color indexed="12"/>
            <rFont val="Tahoma"/>
            <family val="2"/>
          </rPr>
          <t>Fl</t>
        </r>
        <r>
          <rPr>
            <sz val="8"/>
            <color indexed="81"/>
            <rFont val="Tahoma"/>
            <family val="2"/>
          </rPr>
          <t xml:space="preserve">eksi, </t>
        </r>
        <r>
          <rPr>
            <b/>
            <u/>
            <sz val="8"/>
            <color indexed="12"/>
            <rFont val="Tahoma"/>
            <family val="2"/>
          </rPr>
          <t>Fe</t>
        </r>
        <r>
          <rPr>
            <sz val="8"/>
            <color indexed="81"/>
            <rFont val="Tahoma"/>
            <family val="2"/>
          </rPr>
          <t xml:space="preserve">rie, </t>
        </r>
        <r>
          <rPr>
            <b/>
            <u/>
            <sz val="8"/>
            <color indexed="12"/>
            <rFont val="Tahoma"/>
            <family val="2"/>
          </rPr>
          <t>S</t>
        </r>
        <r>
          <rPr>
            <sz val="8"/>
            <color indexed="81"/>
            <rFont val="Tahoma"/>
            <family val="2"/>
          </rPr>
          <t xml:space="preserve">yk, </t>
        </r>
        <r>
          <rPr>
            <b/>
            <u/>
            <sz val="8"/>
            <color indexed="12"/>
            <rFont val="Tahoma"/>
            <family val="2"/>
          </rPr>
          <t>S</t>
        </r>
        <r>
          <rPr>
            <sz val="8"/>
            <color indexed="81"/>
            <rFont val="Tahoma"/>
            <family val="2"/>
          </rPr>
          <t>yke</t>
        </r>
        <r>
          <rPr>
            <b/>
            <u/>
            <sz val="8"/>
            <color indexed="12"/>
            <rFont val="Tahoma"/>
            <family val="2"/>
          </rPr>
          <t>m</t>
        </r>
        <r>
          <rPr>
            <sz val="8"/>
            <color indexed="81"/>
            <rFont val="Tahoma"/>
            <family val="2"/>
          </rPr>
          <t>elding (</t>
        </r>
        <r>
          <rPr>
            <b/>
            <sz val="8"/>
            <color indexed="12"/>
            <rFont val="Tahoma"/>
            <family val="2"/>
          </rPr>
          <t>sm</t>
        </r>
        <r>
          <rPr>
            <sz val="8"/>
            <color indexed="81"/>
            <rFont val="Tahoma"/>
            <family val="2"/>
          </rPr>
          <t xml:space="preserve">)
                </t>
        </r>
        <r>
          <rPr>
            <b/>
            <sz val="8"/>
            <color indexed="81"/>
            <rFont val="Tahoma"/>
            <family val="2"/>
          </rPr>
          <t xml:space="preserve">- ved permisjon: </t>
        </r>
        <r>
          <rPr>
            <sz val="8"/>
            <color indexed="81"/>
            <rFont val="Tahoma"/>
            <family val="2"/>
          </rPr>
          <t xml:space="preserve"> Sykt barn/-passer (</t>
        </r>
        <r>
          <rPr>
            <b/>
            <sz val="8"/>
            <color indexed="12"/>
            <rFont val="Tahoma"/>
            <family val="2"/>
          </rPr>
          <t>pb</t>
        </r>
        <r>
          <rPr>
            <sz val="8"/>
            <color indexed="81"/>
            <rFont val="Tahoma"/>
            <family val="2"/>
          </rPr>
          <t>), velferd (</t>
        </r>
        <r>
          <rPr>
            <b/>
            <sz val="8"/>
            <color indexed="12"/>
            <rFont val="Tahoma"/>
            <family val="2"/>
          </rPr>
          <t>pv</t>
        </r>
        <r>
          <rPr>
            <sz val="8"/>
            <color indexed="81"/>
            <rFont val="Tahoma"/>
            <family val="2"/>
          </rPr>
          <t>) og annet (</t>
        </r>
        <r>
          <rPr>
            <b/>
            <sz val="8"/>
            <color indexed="12"/>
            <rFont val="Tahoma"/>
            <family val="2"/>
          </rPr>
          <t>pa</t>
        </r>
        <r>
          <rPr>
            <sz val="8"/>
            <color indexed="81"/>
            <rFont val="Tahoma"/>
            <family val="2"/>
          </rPr>
          <t>)</t>
        </r>
      </text>
    </comment>
    <comment ref="H6" authorId="0">
      <text>
        <r>
          <rPr>
            <sz val="8"/>
            <color indexed="81"/>
            <rFont val="Tahoma"/>
            <family val="2"/>
          </rPr>
          <t>Pause innenfor arbeidstid
(uten lønn)</t>
        </r>
        <r>
          <rPr>
            <sz val="8"/>
            <color indexed="81"/>
            <rFont val="Tahoma"/>
            <family val="2"/>
          </rPr>
          <t xml:space="preserve">
</t>
        </r>
      </text>
    </comment>
    <comment ref="I6" authorId="0">
      <text>
        <r>
          <rPr>
            <sz val="8"/>
            <color indexed="81"/>
            <rFont val="Tahoma"/>
            <family val="2"/>
          </rPr>
          <t xml:space="preserve">Midlertidig </t>
        </r>
        <r>
          <rPr>
            <i/>
            <sz val="8"/>
            <color indexed="12"/>
            <rFont val="Tahoma"/>
            <family val="2"/>
          </rPr>
          <t>redusert</t>
        </r>
        <r>
          <rPr>
            <sz val="8"/>
            <color indexed="12"/>
            <rFont val="Tahoma"/>
            <family val="2"/>
          </rPr>
          <t xml:space="preserve"> </t>
        </r>
        <r>
          <rPr>
            <sz val="8"/>
            <color indexed="81"/>
            <rFont val="Tahoma"/>
            <family val="2"/>
          </rPr>
          <t>arbeidstid
(iht. delvis sykemelding/permisjon)</t>
        </r>
      </text>
    </comment>
    <comment ref="J6" authorId="1">
      <text>
        <r>
          <rPr>
            <b/>
            <i/>
            <sz val="8"/>
            <color indexed="81"/>
            <rFont val="Tahoma"/>
            <family val="2"/>
          </rPr>
          <t>Status</t>
        </r>
        <r>
          <rPr>
            <b/>
            <sz val="8"/>
            <color indexed="81"/>
            <rFont val="Tahoma"/>
            <family val="2"/>
          </rPr>
          <t xml:space="preserve">
</t>
        </r>
        <r>
          <rPr>
            <sz val="8"/>
            <color indexed="81"/>
            <rFont val="Tahoma"/>
            <family val="2"/>
          </rPr>
          <t>For detaljer, se nederst på siden</t>
        </r>
        <r>
          <rPr>
            <sz val="8"/>
            <color indexed="81"/>
            <rFont val="Tahoma"/>
            <family val="2"/>
          </rPr>
          <t xml:space="preserve">
</t>
        </r>
      </text>
    </comment>
    <comment ref="H44" authorId="1">
      <text>
        <r>
          <rPr>
            <sz val="8"/>
            <color indexed="81"/>
            <rFont val="Tahoma"/>
            <family val="2"/>
          </rPr>
          <t>Dager med sommertid</t>
        </r>
      </text>
    </comment>
  </commentList>
</comments>
</file>

<file path=xl/comments8.xml><?xml version="1.0" encoding="utf-8"?>
<comments xmlns="http://schemas.openxmlformats.org/spreadsheetml/2006/main">
  <authors>
    <author>Eikland</author>
    <author>eikg</author>
  </authors>
  <commentList>
    <comment ref="K5" authorId="0">
      <text>
        <r>
          <rPr>
            <sz val="8"/>
            <color indexed="81"/>
            <rFont val="Tahoma"/>
            <family val="2"/>
          </rPr>
          <t>Disse 2 kolonnene kan brukes til
overtid, prosjekt, kjøring eller lignende.
(</t>
        </r>
        <r>
          <rPr>
            <i/>
            <sz val="8"/>
            <color indexed="81"/>
            <rFont val="Tahoma"/>
            <family val="2"/>
          </rPr>
          <t>Har ingen kobling mot andre felt</t>
        </r>
        <r>
          <rPr>
            <sz val="8"/>
            <color indexed="81"/>
            <rFont val="Tahoma"/>
            <family val="2"/>
          </rPr>
          <t>)</t>
        </r>
      </text>
    </comment>
    <comment ref="C6" authorId="1">
      <text>
        <r>
          <rPr>
            <b/>
            <sz val="8"/>
            <color indexed="81"/>
            <rFont val="Tahoma"/>
            <family val="2"/>
          </rPr>
          <t xml:space="preserve">Føring av fravær hel dag:  </t>
        </r>
        <r>
          <rPr>
            <b/>
            <u/>
            <sz val="8"/>
            <color indexed="12"/>
            <rFont val="Tahoma"/>
            <family val="2"/>
          </rPr>
          <t>Fl</t>
        </r>
        <r>
          <rPr>
            <sz val="8"/>
            <color indexed="81"/>
            <rFont val="Tahoma"/>
            <family val="2"/>
          </rPr>
          <t xml:space="preserve">eksi, </t>
        </r>
        <r>
          <rPr>
            <b/>
            <u/>
            <sz val="8"/>
            <color indexed="12"/>
            <rFont val="Tahoma"/>
            <family val="2"/>
          </rPr>
          <t>Fe</t>
        </r>
        <r>
          <rPr>
            <sz val="8"/>
            <color indexed="81"/>
            <rFont val="Tahoma"/>
            <family val="2"/>
          </rPr>
          <t xml:space="preserve">rie, </t>
        </r>
        <r>
          <rPr>
            <b/>
            <u/>
            <sz val="8"/>
            <color indexed="12"/>
            <rFont val="Tahoma"/>
            <family val="2"/>
          </rPr>
          <t>S</t>
        </r>
        <r>
          <rPr>
            <sz val="8"/>
            <color indexed="81"/>
            <rFont val="Tahoma"/>
            <family val="2"/>
          </rPr>
          <t xml:space="preserve">yk, </t>
        </r>
        <r>
          <rPr>
            <b/>
            <u/>
            <sz val="8"/>
            <color indexed="12"/>
            <rFont val="Tahoma"/>
            <family val="2"/>
          </rPr>
          <t>S</t>
        </r>
        <r>
          <rPr>
            <sz val="8"/>
            <color indexed="81"/>
            <rFont val="Tahoma"/>
            <family val="2"/>
          </rPr>
          <t>yke</t>
        </r>
        <r>
          <rPr>
            <b/>
            <u/>
            <sz val="8"/>
            <color indexed="12"/>
            <rFont val="Tahoma"/>
            <family val="2"/>
          </rPr>
          <t>m</t>
        </r>
        <r>
          <rPr>
            <sz val="8"/>
            <color indexed="81"/>
            <rFont val="Tahoma"/>
            <family val="2"/>
          </rPr>
          <t>elding (</t>
        </r>
        <r>
          <rPr>
            <b/>
            <sz val="8"/>
            <color indexed="12"/>
            <rFont val="Tahoma"/>
            <family val="2"/>
          </rPr>
          <t>sm</t>
        </r>
        <r>
          <rPr>
            <sz val="8"/>
            <color indexed="81"/>
            <rFont val="Tahoma"/>
            <family val="2"/>
          </rPr>
          <t xml:space="preserve">)
                </t>
        </r>
        <r>
          <rPr>
            <b/>
            <sz val="8"/>
            <color indexed="81"/>
            <rFont val="Tahoma"/>
            <family val="2"/>
          </rPr>
          <t xml:space="preserve">- ved permisjon: </t>
        </r>
        <r>
          <rPr>
            <sz val="8"/>
            <color indexed="81"/>
            <rFont val="Tahoma"/>
            <family val="2"/>
          </rPr>
          <t xml:space="preserve"> Sykt barn/-passer (</t>
        </r>
        <r>
          <rPr>
            <b/>
            <sz val="8"/>
            <color indexed="12"/>
            <rFont val="Tahoma"/>
            <family val="2"/>
          </rPr>
          <t>pb</t>
        </r>
        <r>
          <rPr>
            <sz val="8"/>
            <color indexed="81"/>
            <rFont val="Tahoma"/>
            <family val="2"/>
          </rPr>
          <t>), velferd (</t>
        </r>
        <r>
          <rPr>
            <b/>
            <sz val="8"/>
            <color indexed="12"/>
            <rFont val="Tahoma"/>
            <family val="2"/>
          </rPr>
          <t>pv</t>
        </r>
        <r>
          <rPr>
            <sz val="8"/>
            <color indexed="81"/>
            <rFont val="Tahoma"/>
            <family val="2"/>
          </rPr>
          <t>) og annet (</t>
        </r>
        <r>
          <rPr>
            <b/>
            <sz val="8"/>
            <color indexed="12"/>
            <rFont val="Tahoma"/>
            <family val="2"/>
          </rPr>
          <t>pa</t>
        </r>
        <r>
          <rPr>
            <sz val="8"/>
            <color indexed="81"/>
            <rFont val="Tahoma"/>
            <family val="2"/>
          </rPr>
          <t>)</t>
        </r>
      </text>
    </comment>
    <comment ref="H6" authorId="0">
      <text>
        <r>
          <rPr>
            <sz val="8"/>
            <color indexed="81"/>
            <rFont val="Tahoma"/>
            <family val="2"/>
          </rPr>
          <t>Pause innenfor arbeidstid
(uten lønn)</t>
        </r>
        <r>
          <rPr>
            <sz val="8"/>
            <color indexed="81"/>
            <rFont val="Tahoma"/>
            <family val="2"/>
          </rPr>
          <t xml:space="preserve">
</t>
        </r>
      </text>
    </comment>
    <comment ref="I6" authorId="0">
      <text>
        <r>
          <rPr>
            <sz val="8"/>
            <color indexed="81"/>
            <rFont val="Tahoma"/>
            <family val="2"/>
          </rPr>
          <t xml:space="preserve">Midlertidig </t>
        </r>
        <r>
          <rPr>
            <i/>
            <sz val="8"/>
            <color indexed="12"/>
            <rFont val="Tahoma"/>
            <family val="2"/>
          </rPr>
          <t>redusert</t>
        </r>
        <r>
          <rPr>
            <sz val="8"/>
            <color indexed="12"/>
            <rFont val="Tahoma"/>
            <family val="2"/>
          </rPr>
          <t xml:space="preserve"> </t>
        </r>
        <r>
          <rPr>
            <sz val="8"/>
            <color indexed="81"/>
            <rFont val="Tahoma"/>
            <family val="2"/>
          </rPr>
          <t>arbeidstid
(iht. delvis sykemelding/permisjon)</t>
        </r>
      </text>
    </comment>
    <comment ref="J6" authorId="1">
      <text>
        <r>
          <rPr>
            <b/>
            <i/>
            <sz val="8"/>
            <color indexed="81"/>
            <rFont val="Tahoma"/>
            <family val="2"/>
          </rPr>
          <t>Status</t>
        </r>
        <r>
          <rPr>
            <b/>
            <sz val="8"/>
            <color indexed="81"/>
            <rFont val="Tahoma"/>
            <family val="2"/>
          </rPr>
          <t xml:space="preserve">
</t>
        </r>
        <r>
          <rPr>
            <sz val="8"/>
            <color indexed="81"/>
            <rFont val="Tahoma"/>
            <family val="2"/>
          </rPr>
          <t>For detaljer, se nederst på siden</t>
        </r>
        <r>
          <rPr>
            <sz val="8"/>
            <color indexed="81"/>
            <rFont val="Tahoma"/>
            <family val="2"/>
          </rPr>
          <t xml:space="preserve">
</t>
        </r>
      </text>
    </comment>
    <comment ref="H43" authorId="1">
      <text>
        <r>
          <rPr>
            <sz val="8"/>
            <color indexed="81"/>
            <rFont val="Tahoma"/>
            <family val="2"/>
          </rPr>
          <t>Dager med sommertid</t>
        </r>
      </text>
    </comment>
  </commentList>
</comments>
</file>

<file path=xl/comments9.xml><?xml version="1.0" encoding="utf-8"?>
<comments xmlns="http://schemas.openxmlformats.org/spreadsheetml/2006/main">
  <authors>
    <author>Eikland</author>
    <author>eikg</author>
  </authors>
  <commentList>
    <comment ref="K5" authorId="0">
      <text>
        <r>
          <rPr>
            <sz val="8"/>
            <color indexed="81"/>
            <rFont val="Tahoma"/>
            <family val="2"/>
          </rPr>
          <t>Disse 2 kolonnene kan brukes til
overtid, prosjekt, kjøring eller lignende.
(</t>
        </r>
        <r>
          <rPr>
            <i/>
            <sz val="8"/>
            <color indexed="81"/>
            <rFont val="Tahoma"/>
            <family val="2"/>
          </rPr>
          <t>Har ingen kobling mot andre felt</t>
        </r>
        <r>
          <rPr>
            <sz val="8"/>
            <color indexed="81"/>
            <rFont val="Tahoma"/>
            <family val="2"/>
          </rPr>
          <t>)</t>
        </r>
      </text>
    </comment>
    <comment ref="C6" authorId="1">
      <text>
        <r>
          <rPr>
            <b/>
            <sz val="8"/>
            <color indexed="81"/>
            <rFont val="Tahoma"/>
            <family val="2"/>
          </rPr>
          <t xml:space="preserve">Føring av fravær hel dag:  </t>
        </r>
        <r>
          <rPr>
            <b/>
            <u/>
            <sz val="8"/>
            <color indexed="12"/>
            <rFont val="Tahoma"/>
            <family val="2"/>
          </rPr>
          <t>Fl</t>
        </r>
        <r>
          <rPr>
            <sz val="8"/>
            <color indexed="81"/>
            <rFont val="Tahoma"/>
            <family val="2"/>
          </rPr>
          <t xml:space="preserve">eksi, </t>
        </r>
        <r>
          <rPr>
            <b/>
            <u/>
            <sz val="8"/>
            <color indexed="12"/>
            <rFont val="Tahoma"/>
            <family val="2"/>
          </rPr>
          <t>Fe</t>
        </r>
        <r>
          <rPr>
            <sz val="8"/>
            <color indexed="81"/>
            <rFont val="Tahoma"/>
            <family val="2"/>
          </rPr>
          <t xml:space="preserve">rie, </t>
        </r>
        <r>
          <rPr>
            <b/>
            <u/>
            <sz val="8"/>
            <color indexed="12"/>
            <rFont val="Tahoma"/>
            <family val="2"/>
          </rPr>
          <t>S</t>
        </r>
        <r>
          <rPr>
            <sz val="8"/>
            <color indexed="81"/>
            <rFont val="Tahoma"/>
            <family val="2"/>
          </rPr>
          <t xml:space="preserve">yk, </t>
        </r>
        <r>
          <rPr>
            <b/>
            <u/>
            <sz val="8"/>
            <color indexed="12"/>
            <rFont val="Tahoma"/>
            <family val="2"/>
          </rPr>
          <t>S</t>
        </r>
        <r>
          <rPr>
            <sz val="8"/>
            <color indexed="81"/>
            <rFont val="Tahoma"/>
            <family val="2"/>
          </rPr>
          <t>yke</t>
        </r>
        <r>
          <rPr>
            <b/>
            <u/>
            <sz val="8"/>
            <color indexed="12"/>
            <rFont val="Tahoma"/>
            <family val="2"/>
          </rPr>
          <t>m</t>
        </r>
        <r>
          <rPr>
            <sz val="8"/>
            <color indexed="81"/>
            <rFont val="Tahoma"/>
            <family val="2"/>
          </rPr>
          <t>elding (</t>
        </r>
        <r>
          <rPr>
            <b/>
            <sz val="8"/>
            <color indexed="12"/>
            <rFont val="Tahoma"/>
            <family val="2"/>
          </rPr>
          <t>sm</t>
        </r>
        <r>
          <rPr>
            <sz val="8"/>
            <color indexed="81"/>
            <rFont val="Tahoma"/>
            <family val="2"/>
          </rPr>
          <t xml:space="preserve">)
                </t>
        </r>
        <r>
          <rPr>
            <b/>
            <sz val="8"/>
            <color indexed="81"/>
            <rFont val="Tahoma"/>
            <family val="2"/>
          </rPr>
          <t xml:space="preserve">- ved permisjon: </t>
        </r>
        <r>
          <rPr>
            <sz val="8"/>
            <color indexed="81"/>
            <rFont val="Tahoma"/>
            <family val="2"/>
          </rPr>
          <t xml:space="preserve"> Sykt barn/-passer (</t>
        </r>
        <r>
          <rPr>
            <b/>
            <sz val="8"/>
            <color indexed="12"/>
            <rFont val="Tahoma"/>
            <family val="2"/>
          </rPr>
          <t>pb</t>
        </r>
        <r>
          <rPr>
            <sz val="8"/>
            <color indexed="81"/>
            <rFont val="Tahoma"/>
            <family val="2"/>
          </rPr>
          <t>), velferd (</t>
        </r>
        <r>
          <rPr>
            <b/>
            <sz val="8"/>
            <color indexed="12"/>
            <rFont val="Tahoma"/>
            <family val="2"/>
          </rPr>
          <t>pv</t>
        </r>
        <r>
          <rPr>
            <sz val="8"/>
            <color indexed="81"/>
            <rFont val="Tahoma"/>
            <family val="2"/>
          </rPr>
          <t>) og annet (</t>
        </r>
        <r>
          <rPr>
            <b/>
            <sz val="8"/>
            <color indexed="12"/>
            <rFont val="Tahoma"/>
            <family val="2"/>
          </rPr>
          <t>pa</t>
        </r>
        <r>
          <rPr>
            <sz val="8"/>
            <color indexed="81"/>
            <rFont val="Tahoma"/>
            <family val="2"/>
          </rPr>
          <t>)</t>
        </r>
      </text>
    </comment>
    <comment ref="H6" authorId="0">
      <text>
        <r>
          <rPr>
            <sz val="8"/>
            <color indexed="81"/>
            <rFont val="Tahoma"/>
            <family val="2"/>
          </rPr>
          <t>Pause innenfor arbeidstid
(uten lønn)</t>
        </r>
        <r>
          <rPr>
            <sz val="8"/>
            <color indexed="81"/>
            <rFont val="Tahoma"/>
            <family val="2"/>
          </rPr>
          <t xml:space="preserve">
</t>
        </r>
      </text>
    </comment>
    <comment ref="I6" authorId="0">
      <text>
        <r>
          <rPr>
            <sz val="8"/>
            <color indexed="81"/>
            <rFont val="Tahoma"/>
            <family val="2"/>
          </rPr>
          <t xml:space="preserve">Midlertidig </t>
        </r>
        <r>
          <rPr>
            <i/>
            <sz val="8"/>
            <color indexed="12"/>
            <rFont val="Tahoma"/>
            <family val="2"/>
          </rPr>
          <t>redusert</t>
        </r>
        <r>
          <rPr>
            <sz val="8"/>
            <color indexed="12"/>
            <rFont val="Tahoma"/>
            <family val="2"/>
          </rPr>
          <t xml:space="preserve"> </t>
        </r>
        <r>
          <rPr>
            <sz val="8"/>
            <color indexed="81"/>
            <rFont val="Tahoma"/>
            <family val="2"/>
          </rPr>
          <t>arbeidstid
(iht. delvis sykemelding/permisjon)</t>
        </r>
      </text>
    </comment>
    <comment ref="J6" authorId="1">
      <text>
        <r>
          <rPr>
            <b/>
            <i/>
            <sz val="8"/>
            <color indexed="81"/>
            <rFont val="Tahoma"/>
            <family val="2"/>
          </rPr>
          <t>Status</t>
        </r>
        <r>
          <rPr>
            <b/>
            <sz val="8"/>
            <color indexed="81"/>
            <rFont val="Tahoma"/>
            <family val="2"/>
          </rPr>
          <t xml:space="preserve">
</t>
        </r>
        <r>
          <rPr>
            <sz val="8"/>
            <color indexed="81"/>
            <rFont val="Tahoma"/>
            <family val="2"/>
          </rPr>
          <t>For detaljer, se nederst på siden</t>
        </r>
        <r>
          <rPr>
            <sz val="8"/>
            <color indexed="81"/>
            <rFont val="Tahoma"/>
            <family val="2"/>
          </rPr>
          <t xml:space="preserve">
</t>
        </r>
      </text>
    </comment>
    <comment ref="H44" authorId="1">
      <text>
        <r>
          <rPr>
            <sz val="8"/>
            <color indexed="81"/>
            <rFont val="Tahoma"/>
            <family val="2"/>
          </rPr>
          <t>Dager med sommertid</t>
        </r>
      </text>
    </comment>
  </commentList>
</comments>
</file>

<file path=xl/sharedStrings.xml><?xml version="1.0" encoding="utf-8"?>
<sst xmlns="http://schemas.openxmlformats.org/spreadsheetml/2006/main" count="823" uniqueCount="234">
  <si>
    <t>INN</t>
  </si>
  <si>
    <t>UT</t>
  </si>
  <si>
    <t>DATO</t>
  </si>
  <si>
    <t>TIME</t>
  </si>
  <si>
    <t>MIN</t>
  </si>
  <si>
    <t>Navn:</t>
  </si>
  <si>
    <t>Merknad</t>
  </si>
  <si>
    <t>Oktober</t>
  </si>
  <si>
    <t>November</t>
  </si>
  <si>
    <t>Desember</t>
  </si>
  <si>
    <t>Januar</t>
  </si>
  <si>
    <t>Februar</t>
  </si>
  <si>
    <t>Mars</t>
  </si>
  <si>
    <t>April</t>
  </si>
  <si>
    <t>Mai</t>
  </si>
  <si>
    <t>Juni</t>
  </si>
  <si>
    <t>Juli</t>
  </si>
  <si>
    <t>August</t>
  </si>
  <si>
    <t>September</t>
  </si>
  <si>
    <t>Føring av fravær hele dager:</t>
  </si>
  <si>
    <t>1. påskedag</t>
  </si>
  <si>
    <t>1. pinsedag</t>
  </si>
  <si>
    <t>1.</t>
  </si>
  <si>
    <t>2.</t>
  </si>
  <si>
    <t>3.</t>
  </si>
  <si>
    <t>4.</t>
  </si>
  <si>
    <t>5.</t>
  </si>
  <si>
    <t>Stilling:</t>
  </si>
  <si>
    <t>Overføringer</t>
  </si>
  <si>
    <t>Fleksitid fra desember</t>
  </si>
  <si>
    <t>Fødselsdato:</t>
  </si>
  <si>
    <t>minutter</t>
  </si>
  <si>
    <t>dager</t>
  </si>
  <si>
    <t>Generell informasjon:</t>
  </si>
  <si>
    <t>Informasjon om føring:</t>
  </si>
  <si>
    <t>Standardverdier:</t>
  </si>
  <si>
    <t>Normaldag:</t>
  </si>
  <si>
    <t>Sommertiddag:</t>
  </si>
  <si>
    <t>Personlige data</t>
  </si>
  <si>
    <t>Opparbeidet ferie</t>
  </si>
  <si>
    <t>- annet føres i Merknad</t>
  </si>
  <si>
    <t>Dine arbeidsdager utfra stillingsprosent:</t>
  </si>
  <si>
    <t>Halv arbeidsdag:</t>
  </si>
  <si>
    <t>Sommertid:</t>
  </si>
  <si>
    <t>Feriedager igjen:</t>
  </si>
  <si>
    <t>Før timer/ferie/fleksi/syk/permisjon fortløpende. (Ikke vent til slutten av måneden :-)</t>
  </si>
  <si>
    <t>Start med å fylle ut de gule feltene over (brukes til utfylling/beregning i de ulike månedene)</t>
  </si>
  <si>
    <t>Ved fravær deler av arbeidsdagen føres normal arbeidstid og kommenteres i MERKNAD</t>
  </si>
  <si>
    <t>= Timer</t>
  </si>
  <si>
    <t>min</t>
  </si>
  <si>
    <t>= Dager</t>
  </si>
  <si>
    <t>1. nyttårsdag</t>
  </si>
  <si>
    <t>Palmesøndag</t>
  </si>
  <si>
    <t>Kr. himmelfart</t>
  </si>
  <si>
    <t>Dato startdag:</t>
  </si>
  <si>
    <t>Dato sluttdag:</t>
  </si>
  <si>
    <t>Åpne arket for gjeldende måned. Inn- og uttid bør føres daglig</t>
  </si>
  <si>
    <t>Ved egen sykdom</t>
  </si>
  <si>
    <t>Melding om sykefravær første arbeidsdag</t>
  </si>
  <si>
    <t>Åtte kalenderdager</t>
  </si>
  <si>
    <t>Egenmelding kan ikke nyttes</t>
  </si>
  <si>
    <t>Sykemelding fra lege</t>
  </si>
  <si>
    <t>Tap av retten til å nytte egenmelding</t>
  </si>
  <si>
    <t>Ved barns og barnepassers sykdom</t>
  </si>
  <si>
    <t>Rettigheter</t>
  </si>
  <si>
    <t>Egenmelding - tre kalenderdager</t>
  </si>
  <si>
    <t>Regler: Melding om fravær - egenmelding</t>
  </si>
  <si>
    <t>Ord for fravær hele dager: (Føres med minimum understrekede bokstaver)</t>
  </si>
  <si>
    <t>(eks: Syk / S / s)</t>
  </si>
  <si>
    <t>(eks: Ferie / Fe / fe)</t>
  </si>
  <si>
    <t>(eks: Fleksi / Flexi / Fl / fl)</t>
  </si>
  <si>
    <t>(eks: Sykemeld / Sykem / Sm)</t>
  </si>
  <si>
    <t>(eks: Pb)</t>
  </si>
  <si>
    <t>(eks: Pv)</t>
  </si>
  <si>
    <t>(eks: Pa)</t>
  </si>
  <si>
    <t>Fravær hele dager føres i kolonnen INN TIME (se ord for fravær under)</t>
  </si>
  <si>
    <t>6.</t>
  </si>
  <si>
    <t>(Se personalhåndboka for mer informasjon)</t>
  </si>
  <si>
    <t>Egen sykdom</t>
  </si>
  <si>
    <t>Oppdatert pr. 01.09.09</t>
  </si>
  <si>
    <t>Fastelaven</t>
  </si>
  <si>
    <t>Juleaften</t>
  </si>
  <si>
    <t>17. mai</t>
  </si>
  <si>
    <t>St. Hansaften</t>
  </si>
  <si>
    <t>Kalender</t>
  </si>
  <si>
    <t>1. mai</t>
  </si>
  <si>
    <t>Restanse ferie</t>
  </si>
  <si>
    <t>Egenmeldinger</t>
  </si>
  <si>
    <t>Skuddår</t>
  </si>
  <si>
    <t>Antall uker</t>
  </si>
  <si>
    <t>(Brukes til automatisk info i de ulike månedskjemaene)</t>
  </si>
  <si>
    <t>Sjekk året …</t>
  </si>
  <si>
    <t>Romjulsdager</t>
  </si>
  <si>
    <t>- Bytt årstall, så tilpasser skjemaene seg kalenderen !!!</t>
  </si>
  <si>
    <t xml:space="preserve">NB. Regnearket er beskyttet! Dersom du må åpne det, er passordet versjonsnr (se under) </t>
  </si>
  <si>
    <t>Din alder:</t>
  </si>
  <si>
    <t>Bryllupsdag</t>
  </si>
  <si>
    <t>Papir</t>
  </si>
  <si>
    <t>Bomull</t>
  </si>
  <si>
    <t>Lær</t>
  </si>
  <si>
    <t>Blomster</t>
  </si>
  <si>
    <t>Tre</t>
  </si>
  <si>
    <t>Sukker</t>
  </si>
  <si>
    <t>Ull</t>
  </si>
  <si>
    <t>Bronse</t>
  </si>
  <si>
    <t>Keramikk</t>
  </si>
  <si>
    <t>Tinn</t>
  </si>
  <si>
    <t>Stål</t>
  </si>
  <si>
    <t>Silke</t>
  </si>
  <si>
    <t>Knipling</t>
  </si>
  <si>
    <t>Elfenben</t>
  </si>
  <si>
    <t>Krystall</t>
  </si>
  <si>
    <t>Porselen</t>
  </si>
  <si>
    <t>Sølv</t>
  </si>
  <si>
    <t>Perle</t>
  </si>
  <si>
    <t>Korall</t>
  </si>
  <si>
    <t>Rubin</t>
  </si>
  <si>
    <t>Safir</t>
  </si>
  <si>
    <t>Gull</t>
  </si>
  <si>
    <t xml:space="preserve"> </t>
  </si>
  <si>
    <t>Vist i skjema:</t>
  </si>
  <si>
    <t>2. pinsedag</t>
  </si>
  <si>
    <t>2. påskedag</t>
  </si>
  <si>
    <t>Langfredag</t>
  </si>
  <si>
    <t>Skjærtorsdag</t>
  </si>
  <si>
    <t>Halv dag</t>
  </si>
  <si>
    <t>R.f.</t>
  </si>
  <si>
    <t>Filen kan nå fungere som mal for uendelig antall år</t>
  </si>
  <si>
    <t>fleksi-minutter</t>
  </si>
  <si>
    <t>Smaragd</t>
  </si>
  <si>
    <t>Diamant</t>
  </si>
  <si>
    <t>Dine egne merkedager (personer / hendelser):</t>
  </si>
  <si>
    <t>Mini-almanakk:</t>
  </si>
  <si>
    <t>Ferie</t>
  </si>
  <si>
    <t>Tidligst 1. april</t>
  </si>
  <si>
    <t>Senest 31. oktober</t>
  </si>
  <si>
    <t>Romjulsdager:</t>
  </si>
  <si>
    <t>minutter uten lønn</t>
  </si>
  <si>
    <t>Versjon:</t>
  </si>
  <si>
    <t>TID +/-</t>
  </si>
  <si>
    <t>Sykedager</t>
  </si>
  <si>
    <t>Fleksitid +/-</t>
  </si>
  <si>
    <t>Opparbeidet:</t>
  </si>
  <si>
    <t>Opparbeidede dager:</t>
  </si>
  <si>
    <t>Permisjoner</t>
  </si>
  <si>
    <t>Fleksi, ferie, syk, sykemelding</t>
  </si>
  <si>
    <t>Permisjoner: Pb, Pv eller Pa</t>
  </si>
  <si>
    <t>-- Føres i kolonne INN TIME --</t>
  </si>
  <si>
    <t>Siste 12 måneder</t>
  </si>
  <si>
    <t>Overskrift:</t>
  </si>
  <si>
    <t>år</t>
  </si>
  <si>
    <t>- Romjulsdager (mulighet for egne tider)</t>
  </si>
  <si>
    <t>Nyheter:</t>
  </si>
  <si>
    <t>- Spisepause (autoutfylling av pausetid uten lønn)</t>
  </si>
  <si>
    <t>- Overskrift for alle skjemaene kan byttes her</t>
  </si>
  <si>
    <t>Info:</t>
  </si>
  <si>
    <t>Dager:</t>
  </si>
  <si>
    <t>- Mini-almanakk (merkedager dette året, neste år og valgfritt år)</t>
  </si>
  <si>
    <t>Annet … :</t>
  </si>
  <si>
    <t>- "Pyntet på" layout</t>
  </si>
  <si>
    <t>- Fast topptekst</t>
  </si>
  <si>
    <t>- Markerer dagens dag og uke</t>
  </si>
  <si>
    <t>- Diverse andre justeringer …</t>
  </si>
  <si>
    <t>- Legg inn egne merkedatoer og disse vises i skjemaet !</t>
  </si>
  <si>
    <t>januar</t>
  </si>
  <si>
    <t>februar</t>
  </si>
  <si>
    <t>mars</t>
  </si>
  <si>
    <t>april</t>
  </si>
  <si>
    <t>mai</t>
  </si>
  <si>
    <t>juni</t>
  </si>
  <si>
    <t>juli</t>
  </si>
  <si>
    <t>august</t>
  </si>
  <si>
    <t>september</t>
  </si>
  <si>
    <t>oktober</t>
  </si>
  <si>
    <t>november</t>
  </si>
  <si>
    <t>desember</t>
  </si>
  <si>
    <t>M</t>
  </si>
  <si>
    <t>O</t>
  </si>
  <si>
    <t>To</t>
  </si>
  <si>
    <t>Ti</t>
  </si>
  <si>
    <t>F</t>
  </si>
  <si>
    <t>L</t>
  </si>
  <si>
    <t>S</t>
  </si>
  <si>
    <t>u</t>
  </si>
  <si>
    <t>Helligdager, høytidsdager og andre merkedager</t>
  </si>
  <si>
    <t>Nyttårsdag</t>
  </si>
  <si>
    <t>Frigjøringsdag</t>
  </si>
  <si>
    <t>Grunnlovsdag</t>
  </si>
  <si>
    <t>1. juledag</t>
  </si>
  <si>
    <t>Nyttårsaften</t>
  </si>
  <si>
    <t>2. juledag</t>
  </si>
  <si>
    <t>Arb. internasj. dag</t>
  </si>
  <si>
    <t>- J-kolonne: Summers for f.eks kjøring</t>
  </si>
  <si>
    <t>- Minikalendere for måned, forrige og neste</t>
  </si>
  <si>
    <t>Kalender:</t>
  </si>
  <si>
    <t>- Kalenderark med offentlige merkedager</t>
  </si>
  <si>
    <t>- Egne merkedager (angitt på arket Dager)</t>
  </si>
  <si>
    <t>7.</t>
  </si>
  <si>
    <t>I fanen Dager kan du legge inn egne merkedager som vil vises i feltet Merknad for årsdagen</t>
  </si>
  <si>
    <r>
      <t>Fe</t>
    </r>
    <r>
      <rPr>
        <i/>
        <sz val="10"/>
        <color indexed="60"/>
        <rFont val="Arial"/>
        <family val="2"/>
      </rPr>
      <t>rie</t>
    </r>
  </si>
  <si>
    <r>
      <t>P</t>
    </r>
    <r>
      <rPr>
        <i/>
        <sz val="10"/>
        <color indexed="60"/>
        <rFont val="Arial"/>
        <family val="2"/>
      </rPr>
      <t>erm-</t>
    </r>
    <r>
      <rPr>
        <i/>
        <u/>
        <sz val="10"/>
        <color indexed="60"/>
        <rFont val="Arial"/>
        <family val="2"/>
      </rPr>
      <t>b</t>
    </r>
    <r>
      <rPr>
        <i/>
        <sz val="10"/>
        <color indexed="60"/>
        <rFont val="Arial"/>
        <family val="2"/>
      </rPr>
      <t>arn</t>
    </r>
  </si>
  <si>
    <r>
      <t>Fl</t>
    </r>
    <r>
      <rPr>
        <i/>
        <sz val="10"/>
        <color indexed="60"/>
        <rFont val="Arial"/>
        <family val="2"/>
      </rPr>
      <t>eksi</t>
    </r>
  </si>
  <si>
    <r>
      <t>P</t>
    </r>
    <r>
      <rPr>
        <i/>
        <sz val="10"/>
        <color indexed="60"/>
        <rFont val="Arial"/>
        <family val="2"/>
      </rPr>
      <t>erm-</t>
    </r>
    <r>
      <rPr>
        <i/>
        <u/>
        <sz val="10"/>
        <color indexed="60"/>
        <rFont val="Arial"/>
        <family val="2"/>
      </rPr>
      <t>v</t>
    </r>
    <r>
      <rPr>
        <i/>
        <sz val="10"/>
        <color indexed="60"/>
        <rFont val="Arial"/>
        <family val="2"/>
      </rPr>
      <t>elferd</t>
    </r>
  </si>
  <si>
    <r>
      <t>S</t>
    </r>
    <r>
      <rPr>
        <i/>
        <sz val="10"/>
        <color indexed="60"/>
        <rFont val="Arial"/>
        <family val="2"/>
      </rPr>
      <t>yk</t>
    </r>
  </si>
  <si>
    <r>
      <t>P</t>
    </r>
    <r>
      <rPr>
        <i/>
        <sz val="10"/>
        <color indexed="60"/>
        <rFont val="Arial"/>
        <family val="2"/>
      </rPr>
      <t>erm-</t>
    </r>
    <r>
      <rPr>
        <i/>
        <u/>
        <sz val="10"/>
        <color indexed="60"/>
        <rFont val="Arial"/>
        <family val="2"/>
      </rPr>
      <t>a</t>
    </r>
    <r>
      <rPr>
        <i/>
        <sz val="10"/>
        <color indexed="60"/>
        <rFont val="Arial"/>
        <family val="2"/>
      </rPr>
      <t>nnet</t>
    </r>
  </si>
  <si>
    <r>
      <t>S</t>
    </r>
    <r>
      <rPr>
        <i/>
        <sz val="10"/>
        <color indexed="60"/>
        <rFont val="Arial"/>
        <family val="2"/>
      </rPr>
      <t>yke</t>
    </r>
    <r>
      <rPr>
        <i/>
        <u/>
        <sz val="10"/>
        <color indexed="60"/>
        <rFont val="Arial"/>
        <family val="2"/>
      </rPr>
      <t>m</t>
    </r>
    <r>
      <rPr>
        <i/>
        <sz val="10"/>
        <color indexed="60"/>
        <rFont val="Arial"/>
        <family val="2"/>
      </rPr>
      <t>eld</t>
    </r>
  </si>
  <si>
    <t xml:space="preserve"> (NB! Disse brukes for utregning i alle måneder!)</t>
  </si>
  <si>
    <t>%</t>
  </si>
  <si>
    <t>Fratrekk</t>
  </si>
  <si>
    <t>8.</t>
  </si>
  <si>
    <t>Dersom en har delt arbeidsdag, benyttes kolonnen FRATREKK MINutter</t>
  </si>
  <si>
    <t>Ved midlertidig delvis sykemelding, settes prosent redusert arbeidstid i kolonnen FRATREKK %</t>
  </si>
  <si>
    <t>Måneder:</t>
  </si>
  <si>
    <t>- Ny kolonne for midlertidig redusert arbeidstid (delvis sykemelding/permisjon)</t>
  </si>
  <si>
    <t>Kopier/lagre regnearket til ditt lokale område</t>
  </si>
  <si>
    <t>KM</t>
  </si>
  <si>
    <t xml:space="preserve">Ekstra | Bil </t>
  </si>
  <si>
    <t>der av</t>
  </si>
  <si>
    <t>Praksis når arbeidstaker møter på jobb og går hjem i løpet av dagen
er at det gis "permisjon" ut dagen.</t>
  </si>
  <si>
    <t>Egenmelding leveres ved hel fraværsdag.</t>
  </si>
  <si>
    <t>Overtid</t>
  </si>
  <si>
    <t>Arbeid ut over ordinær arbidstid skal avtales med overordnet leder</t>
  </si>
  <si>
    <t>Der arbeidstaker har flekstid, er denne å regne som ordinær</t>
  </si>
  <si>
    <t>Dagtid</t>
  </si>
  <si>
    <t>Skift / turnus</t>
  </si>
  <si>
    <t>Type arbeid</t>
  </si>
  <si>
    <t>9.</t>
  </si>
  <si>
    <t>Ved fleksiarbeid på fridag, fyll ut som vanlig og i tillegg 100 i FRATREKK %</t>
  </si>
  <si>
    <t>Regler for fravær og overtid, finner du på arket "Regler"</t>
  </si>
  <si>
    <t>Faste pauser:</t>
  </si>
  <si>
    <t>2012++</t>
  </si>
  <si>
    <t xml:space="preserve">Når du lagrer første, gi filen navnet: ArbTid[årstall]_[Ditt navn] (eks:ArbTid2012_OlaNormann) </t>
  </si>
  <si>
    <t>Fleksitid</t>
  </si>
  <si>
    <t>Attestert - Einingsleiar/kommunalsjef</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</si>
</sst>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00"/>
    <numFmt numFmtId="165" formatCode="0.0"/>
    <numFmt numFmtId="166" formatCode="dd/mm/yy;@"/>
    <numFmt numFmtId="167" formatCode="[$-414]d/\ mmmm;@"/>
    <numFmt numFmtId="168" formatCode="\(\ h\t\ m\m\ \)"/>
    <numFmt numFmtId="169" formatCode="0;\-0"/>
    <numFmt numFmtId="170" formatCode="0;[Red]\-\ 0"/>
    <numFmt numFmtId="171" formatCode="\+\ 0;[Red]\-\ 0;0"/>
    <numFmt numFmtId="172" formatCode="00;[Red]\-\ 00;0"/>
    <numFmt numFmtId="173" formatCode="0;\-0;"/>
    <numFmt numFmtId="174" formatCode="_dd/"/>
    <numFmt numFmtId="175" formatCode="dddd"/>
    <numFmt numFmtId="176" formatCode="d/\ mmmm"/>
    <numFmt numFmtId="177" formatCode="ddd\ dd/mm/yyyy"/>
    <numFmt numFmtId="178" formatCode="0;0;"/>
    <numFmt numFmtId="179" formatCode="[Red][&gt;24]General;0;0"/>
    <numFmt numFmtId="180" formatCode="d"/>
    <numFmt numFmtId="181" formatCode="d;;"/>
    <numFmt numFmtId="182" formatCode="[$-414]ddd/\ d/\ mmmm;@"/>
    <numFmt numFmtId="183" formatCode="[$-414]ddd/\ d/\ mmm/;@"/>
    <numFmt numFmtId="184" formatCode="h\ \t\ mm\ \m"/>
  </numFmts>
  <fonts count="82" x14ac:knownFonts="1">
    <font>
      <sz val="10"/>
      <name val="Arial"/>
    </font>
    <font>
      <sz val="10"/>
      <name val="Arial"/>
      <family val="2"/>
    </font>
    <font>
      <sz val="18"/>
      <name val="Arial"/>
      <family val="2"/>
    </font>
    <font>
      <b/>
      <sz val="10"/>
      <color indexed="10"/>
      <name val="Arial"/>
      <family val="2"/>
    </font>
    <font>
      <sz val="10"/>
      <color indexed="8"/>
      <name val="Arial"/>
      <family val="2"/>
    </font>
    <font>
      <sz val="10"/>
      <name val="Arial"/>
      <family val="2"/>
    </font>
    <font>
      <b/>
      <sz val="10"/>
      <name val="Arial"/>
      <family val="2"/>
    </font>
    <font>
      <sz val="8"/>
      <name val="Arial"/>
      <family val="2"/>
    </font>
    <font>
      <b/>
      <sz val="8"/>
      <name val="Arial"/>
      <family val="2"/>
    </font>
    <font>
      <i/>
      <sz val="8"/>
      <name val="Arial"/>
      <family val="2"/>
    </font>
    <font>
      <sz val="8"/>
      <name val="Arial"/>
      <family val="2"/>
    </font>
    <font>
      <b/>
      <i/>
      <sz val="8"/>
      <name val="Arial"/>
      <family val="2"/>
    </font>
    <font>
      <i/>
      <sz val="10"/>
      <name val="Arial"/>
      <family val="2"/>
    </font>
    <font>
      <i/>
      <sz val="10"/>
      <name val="Arial"/>
      <family val="2"/>
    </font>
    <font>
      <sz val="10"/>
      <name val="Arial"/>
      <family val="2"/>
    </font>
    <font>
      <b/>
      <sz val="8"/>
      <color indexed="81"/>
      <name val="Tahoma"/>
      <family val="2"/>
    </font>
    <font>
      <sz val="8"/>
      <color indexed="81"/>
      <name val="Tahoma"/>
      <family val="2"/>
    </font>
    <font>
      <i/>
      <sz val="10"/>
      <color indexed="57"/>
      <name val="Arial"/>
      <family val="2"/>
    </font>
    <font>
      <b/>
      <sz val="10"/>
      <color indexed="48"/>
      <name val="Arial"/>
      <family val="2"/>
    </font>
    <font>
      <b/>
      <sz val="10"/>
      <color indexed="12"/>
      <name val="Arial"/>
      <family val="2"/>
    </font>
    <font>
      <b/>
      <sz val="10"/>
      <color indexed="12"/>
      <name val="Arial"/>
      <family val="2"/>
    </font>
    <font>
      <b/>
      <sz val="10"/>
      <color indexed="48"/>
      <name val="Arial"/>
      <family val="2"/>
    </font>
    <font>
      <i/>
      <sz val="10"/>
      <color indexed="48"/>
      <name val="Arial"/>
      <family val="2"/>
    </font>
    <font>
      <sz val="10"/>
      <color indexed="48"/>
      <name val="Arial"/>
      <family val="2"/>
    </font>
    <font>
      <b/>
      <sz val="10"/>
      <name val="Arial"/>
      <family val="2"/>
    </font>
    <font>
      <sz val="10"/>
      <color indexed="9"/>
      <name val="Arial"/>
      <family val="2"/>
    </font>
    <font>
      <b/>
      <i/>
      <sz val="9"/>
      <name val="Arial"/>
      <family val="2"/>
    </font>
    <font>
      <sz val="7"/>
      <name val="Arial"/>
      <family val="2"/>
    </font>
    <font>
      <sz val="10"/>
      <color indexed="10"/>
      <name val="Arial"/>
      <family val="2"/>
    </font>
    <font>
      <b/>
      <sz val="8"/>
      <name val="Arial"/>
      <family val="2"/>
    </font>
    <font>
      <i/>
      <sz val="8"/>
      <color indexed="81"/>
      <name val="Tahoma"/>
      <family val="2"/>
    </font>
    <font>
      <i/>
      <sz val="9"/>
      <name val="Arial"/>
      <family val="2"/>
    </font>
    <font>
      <sz val="8"/>
      <color indexed="8"/>
      <name val="Arial"/>
      <family val="2"/>
    </font>
    <font>
      <b/>
      <i/>
      <sz val="10"/>
      <name val="Arial"/>
      <family val="2"/>
    </font>
    <font>
      <sz val="8"/>
      <color indexed="9"/>
      <name val="Arial"/>
      <family val="2"/>
    </font>
    <font>
      <b/>
      <sz val="10"/>
      <color indexed="9"/>
      <name val="Arial"/>
      <family val="2"/>
    </font>
    <font>
      <i/>
      <sz val="8"/>
      <color indexed="16"/>
      <name val="Arial"/>
      <family val="2"/>
    </font>
    <font>
      <sz val="10"/>
      <color indexed="16"/>
      <name val="Arial"/>
      <family val="2"/>
    </font>
    <font>
      <b/>
      <i/>
      <sz val="9"/>
      <color indexed="16"/>
      <name val="Arial"/>
      <family val="2"/>
    </font>
    <font>
      <sz val="18"/>
      <color indexed="9"/>
      <name val="Arial"/>
      <family val="2"/>
    </font>
    <font>
      <sz val="9"/>
      <name val="Arial"/>
      <family val="2"/>
    </font>
    <font>
      <sz val="10"/>
      <name val="Arial"/>
      <family val="2"/>
    </font>
    <font>
      <b/>
      <i/>
      <sz val="8"/>
      <color indexed="81"/>
      <name val="Tahoma"/>
      <family val="2"/>
    </font>
    <font>
      <i/>
      <sz val="8"/>
      <color indexed="23"/>
      <name val="Arial"/>
      <family val="2"/>
    </font>
    <font>
      <b/>
      <sz val="10"/>
      <color indexed="62"/>
      <name val="Arial"/>
      <family val="2"/>
    </font>
    <font>
      <b/>
      <sz val="10"/>
      <color indexed="62"/>
      <name val="Arial"/>
      <family val="2"/>
    </font>
    <font>
      <i/>
      <sz val="10"/>
      <color indexed="12"/>
      <name val="Arial"/>
      <family val="2"/>
    </font>
    <font>
      <sz val="9"/>
      <name val="Arial"/>
      <family val="2"/>
    </font>
    <font>
      <i/>
      <sz val="9"/>
      <name val="Arial"/>
      <family val="2"/>
    </font>
    <font>
      <b/>
      <sz val="10"/>
      <color indexed="60"/>
      <name val="Arial"/>
      <family val="2"/>
    </font>
    <font>
      <b/>
      <sz val="8"/>
      <color indexed="12"/>
      <name val="Tahoma"/>
      <family val="2"/>
    </font>
    <font>
      <b/>
      <u/>
      <sz val="8"/>
      <color indexed="12"/>
      <name val="Tahoma"/>
      <family val="2"/>
    </font>
    <font>
      <sz val="10"/>
      <color indexed="12"/>
      <name val="Arial"/>
      <family val="2"/>
    </font>
    <font>
      <i/>
      <sz val="14"/>
      <color indexed="12"/>
      <name val="Arial"/>
      <family val="2"/>
    </font>
    <font>
      <sz val="10"/>
      <color indexed="12"/>
      <name val="Arial"/>
      <family val="2"/>
    </font>
    <font>
      <b/>
      <sz val="12"/>
      <name val="Arial"/>
      <family val="2"/>
    </font>
    <font>
      <b/>
      <sz val="11"/>
      <name val="Arial"/>
      <family val="2"/>
    </font>
    <font>
      <sz val="16"/>
      <name val="Arial"/>
      <family val="2"/>
    </font>
    <font>
      <sz val="12"/>
      <name val="Arial"/>
      <family val="2"/>
    </font>
    <font>
      <u/>
      <sz val="10"/>
      <color indexed="12"/>
      <name val="Arial"/>
      <family val="2"/>
    </font>
    <font>
      <i/>
      <sz val="14"/>
      <name val="Arial"/>
      <family val="2"/>
    </font>
    <font>
      <i/>
      <sz val="14"/>
      <color indexed="9"/>
      <name val="Arial"/>
      <family val="2"/>
    </font>
    <font>
      <b/>
      <sz val="8"/>
      <name val="Verdana"/>
      <family val="2"/>
    </font>
    <font>
      <sz val="8"/>
      <name val="Verdana"/>
      <family val="2"/>
    </font>
    <font>
      <sz val="7"/>
      <name val="Verdana"/>
      <family val="2"/>
    </font>
    <font>
      <sz val="8"/>
      <color indexed="10"/>
      <name val="Verdana"/>
      <family val="2"/>
    </font>
    <font>
      <sz val="7"/>
      <name val="Courier"/>
      <family val="3"/>
    </font>
    <font>
      <sz val="8"/>
      <color indexed="12"/>
      <name val="Verdana"/>
      <family val="2"/>
    </font>
    <font>
      <sz val="22"/>
      <name val="Arial"/>
      <family val="2"/>
    </font>
    <font>
      <sz val="8"/>
      <color indexed="10"/>
      <name val="Arial"/>
      <family val="2"/>
    </font>
    <font>
      <sz val="11"/>
      <name val="Arial"/>
      <family val="2"/>
    </font>
    <font>
      <i/>
      <sz val="8"/>
      <color indexed="9"/>
      <name val="Arial"/>
      <family val="2"/>
    </font>
    <font>
      <sz val="10"/>
      <color indexed="60"/>
      <name val="Arial"/>
      <family val="2"/>
    </font>
    <font>
      <i/>
      <u/>
      <sz val="10"/>
      <color indexed="60"/>
      <name val="Arial"/>
      <family val="2"/>
    </font>
    <font>
      <i/>
      <sz val="10"/>
      <color indexed="60"/>
      <name val="Arial"/>
      <family val="2"/>
    </font>
    <font>
      <sz val="8"/>
      <color indexed="60"/>
      <name val="Arial"/>
      <family val="2"/>
    </font>
    <font>
      <b/>
      <sz val="9"/>
      <name val="Arial"/>
      <family val="2"/>
    </font>
    <font>
      <sz val="10"/>
      <color indexed="10"/>
      <name val="Arial"/>
      <family val="2"/>
    </font>
    <font>
      <sz val="8"/>
      <color indexed="12"/>
      <name val="Tahoma"/>
      <family val="2"/>
    </font>
    <font>
      <i/>
      <sz val="8"/>
      <color indexed="12"/>
      <name val="Tahoma"/>
      <family val="2"/>
    </font>
    <font>
      <sz val="10"/>
      <color indexed="60"/>
      <name val="Arial"/>
      <family val="2"/>
    </font>
    <font>
      <i/>
      <sz val="10"/>
      <color indexed="60"/>
      <name val="Arial"/>
      <family val="2"/>
    </font>
  </fonts>
  <fills count="14">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20"/>
        <bgColor indexed="64"/>
      </patternFill>
    </fill>
    <fill>
      <patternFill patternType="solid">
        <fgColor indexed="61"/>
        <bgColor indexed="64"/>
      </patternFill>
    </fill>
    <fill>
      <patternFill patternType="solid">
        <fgColor indexed="52"/>
        <bgColor indexed="64"/>
      </patternFill>
    </fill>
    <fill>
      <patternFill patternType="solid">
        <fgColor indexed="51"/>
        <bgColor indexed="64"/>
      </patternFill>
    </fill>
    <fill>
      <patternFill patternType="solid">
        <fgColor indexed="57"/>
        <bgColor indexed="64"/>
      </patternFill>
    </fill>
    <fill>
      <patternFill patternType="solid">
        <fgColor indexed="50"/>
        <bgColor indexed="64"/>
      </patternFill>
    </fill>
    <fill>
      <patternFill patternType="solid">
        <fgColor indexed="42"/>
        <bgColor indexed="64"/>
      </patternFill>
    </fill>
  </fills>
  <borders count="4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55"/>
      </right>
      <top/>
      <bottom/>
      <diagonal/>
    </border>
    <border>
      <left/>
      <right style="thin">
        <color indexed="55"/>
      </right>
      <top/>
      <bottom style="thin">
        <color indexed="55"/>
      </bottom>
      <diagonal/>
    </border>
    <border>
      <left style="thin">
        <color indexed="55"/>
      </left>
      <right/>
      <top/>
      <bottom/>
      <diagonal/>
    </border>
    <border>
      <left style="thin">
        <color indexed="55"/>
      </left>
      <right/>
      <top/>
      <bottom style="thin">
        <color indexed="55"/>
      </bottom>
      <diagonal/>
    </border>
    <border>
      <left/>
      <right/>
      <top style="thin">
        <color indexed="55"/>
      </top>
      <bottom/>
      <diagonal/>
    </border>
    <border>
      <left/>
      <right style="thin">
        <color indexed="55"/>
      </right>
      <top style="thin">
        <color indexed="55"/>
      </top>
      <bottom/>
      <diagonal/>
    </border>
    <border>
      <left style="thin">
        <color indexed="55"/>
      </left>
      <right/>
      <top style="thin">
        <color indexed="55"/>
      </top>
      <bottom/>
      <diagonal/>
    </border>
    <border>
      <left/>
      <right/>
      <top/>
      <bottom style="thin">
        <color indexed="55"/>
      </bottom>
      <diagonal/>
    </border>
    <border>
      <left style="thin">
        <color indexed="64"/>
      </left>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hair">
        <color indexed="64"/>
      </top>
      <bottom style="hair">
        <color indexed="64"/>
      </bottom>
      <diagonal/>
    </border>
  </borders>
  <cellStyleXfs count="2">
    <xf numFmtId="0" fontId="0" fillId="0" borderId="0"/>
    <xf numFmtId="0" fontId="59" fillId="0" borderId="0" applyNumberFormat="0" applyFill="0" applyBorder="0" applyAlignment="0" applyProtection="0">
      <alignment vertical="top"/>
      <protection locked="0"/>
    </xf>
  </cellStyleXfs>
  <cellXfs count="497">
    <xf numFmtId="0" fontId="0" fillId="0" borderId="0" xfId="0"/>
    <xf numFmtId="0" fontId="0" fillId="0" borderId="0" xfId="0" applyBorder="1"/>
    <xf numFmtId="0" fontId="0" fillId="0" borderId="0" xfId="0" applyAlignment="1">
      <alignment horizontal="right"/>
    </xf>
    <xf numFmtId="0" fontId="6" fillId="0" borderId="1" xfId="0" applyFont="1" applyBorder="1"/>
    <xf numFmtId="0" fontId="6" fillId="0" borderId="2" xfId="0" applyFont="1" applyBorder="1" applyAlignment="1">
      <alignment horizontal="centerContinuous"/>
    </xf>
    <xf numFmtId="0" fontId="6" fillId="0" borderId="3" xfId="0" applyFont="1" applyBorder="1" applyAlignment="1">
      <alignment horizontal="center"/>
    </xf>
    <xf numFmtId="0" fontId="6" fillId="0" borderId="4" xfId="0" applyFont="1" applyBorder="1" applyAlignment="1">
      <alignment horizontal="center"/>
    </xf>
    <xf numFmtId="0" fontId="0" fillId="0" borderId="0" xfId="0" applyBorder="1" applyAlignment="1">
      <alignment horizontal="left"/>
    </xf>
    <xf numFmtId="0" fontId="5" fillId="0" borderId="0" xfId="0" applyFont="1"/>
    <xf numFmtId="0" fontId="8" fillId="0" borderId="5" xfId="0" applyFont="1" applyBorder="1" applyAlignment="1">
      <alignment horizontal="center"/>
    </xf>
    <xf numFmtId="0" fontId="7" fillId="0" borderId="0" xfId="0" applyFont="1"/>
    <xf numFmtId="0" fontId="0" fillId="0" borderId="0" xfId="0" applyFill="1"/>
    <xf numFmtId="164" fontId="5" fillId="0" borderId="0" xfId="0" applyNumberFormat="1" applyFont="1" applyAlignment="1">
      <alignment horizontal="center"/>
    </xf>
    <xf numFmtId="0" fontId="0" fillId="0" borderId="6" xfId="0" applyBorder="1"/>
    <xf numFmtId="0" fontId="11" fillId="0" borderId="0" xfId="0" applyFont="1" applyBorder="1" applyAlignment="1">
      <alignment horizontal="center"/>
    </xf>
    <xf numFmtId="0" fontId="7" fillId="0" borderId="0" xfId="0" applyFont="1" applyBorder="1" applyAlignment="1">
      <alignment horizontal="center"/>
    </xf>
    <xf numFmtId="0" fontId="9" fillId="0" borderId="0" xfId="0" applyFont="1" applyBorder="1" applyAlignment="1">
      <alignment horizontal="center"/>
    </xf>
    <xf numFmtId="0" fontId="7" fillId="0" borderId="0" xfId="0" quotePrefix="1" applyFont="1" applyAlignment="1">
      <alignment horizontal="center"/>
    </xf>
    <xf numFmtId="0" fontId="3" fillId="0" borderId="0" xfId="0" applyFont="1" applyBorder="1"/>
    <xf numFmtId="0" fontId="5" fillId="0" borderId="0" xfId="0" applyFont="1" applyBorder="1"/>
    <xf numFmtId="0" fontId="1" fillId="0" borderId="0" xfId="0" applyFont="1"/>
    <xf numFmtId="0" fontId="14" fillId="0" borderId="0" xfId="0" applyFont="1"/>
    <xf numFmtId="0" fontId="2" fillId="0" borderId="0" xfId="0" applyFont="1"/>
    <xf numFmtId="0" fontId="6" fillId="0" borderId="7" xfId="0" applyFont="1" applyBorder="1"/>
    <xf numFmtId="0" fontId="0" fillId="0" borderId="7" xfId="0" applyBorder="1"/>
    <xf numFmtId="0" fontId="10" fillId="0" borderId="0" xfId="0" applyFont="1" applyBorder="1" applyAlignment="1">
      <alignment horizontal="center"/>
    </xf>
    <xf numFmtId="0" fontId="10" fillId="0" borderId="0" xfId="0" applyFont="1" applyAlignment="1">
      <alignment horizontal="center"/>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6" fillId="0" borderId="6" xfId="0" applyFont="1" applyBorder="1"/>
    <xf numFmtId="0" fontId="0" fillId="2" borderId="0" xfId="0" applyFill="1" applyBorder="1"/>
    <xf numFmtId="167" fontId="0" fillId="2" borderId="0" xfId="0" applyNumberFormat="1" applyFill="1" applyBorder="1" applyAlignment="1">
      <alignment horizontal="left"/>
    </xf>
    <xf numFmtId="167" fontId="0" fillId="2" borderId="12" xfId="0" applyNumberFormat="1" applyFill="1" applyBorder="1" applyAlignment="1">
      <alignment horizontal="left"/>
    </xf>
    <xf numFmtId="168" fontId="0" fillId="0" borderId="10" xfId="0" applyNumberFormat="1" applyBorder="1" applyAlignment="1">
      <alignment horizontal="center"/>
    </xf>
    <xf numFmtId="168" fontId="0" fillId="0" borderId="13" xfId="0" applyNumberFormat="1" applyBorder="1" applyAlignment="1">
      <alignment horizontal="center"/>
    </xf>
    <xf numFmtId="1" fontId="12" fillId="0" borderId="8" xfId="0" applyNumberFormat="1" applyFont="1" applyBorder="1" applyAlignment="1">
      <alignment horizontal="center"/>
    </xf>
    <xf numFmtId="1" fontId="12" fillId="0" borderId="6" xfId="0" applyNumberFormat="1" applyFont="1" applyBorder="1" applyAlignment="1">
      <alignment horizontal="center"/>
    </xf>
    <xf numFmtId="171" fontId="18" fillId="0" borderId="0" xfId="0" applyNumberFormat="1" applyFont="1" applyBorder="1" applyAlignment="1">
      <alignment horizontal="center"/>
    </xf>
    <xf numFmtId="172" fontId="18" fillId="0" borderId="0" xfId="0" applyNumberFormat="1" applyFont="1"/>
    <xf numFmtId="172" fontId="18" fillId="0" borderId="2" xfId="0" applyNumberFormat="1" applyFont="1" applyBorder="1"/>
    <xf numFmtId="172" fontId="18" fillId="2" borderId="7" xfId="0" applyNumberFormat="1" applyFont="1" applyFill="1" applyBorder="1" applyAlignment="1">
      <alignment horizontal="center"/>
    </xf>
    <xf numFmtId="172" fontId="18" fillId="0" borderId="7" xfId="0" applyNumberFormat="1" applyFont="1" applyFill="1" applyBorder="1" applyAlignment="1">
      <alignment horizontal="center"/>
    </xf>
    <xf numFmtId="172" fontId="18" fillId="0" borderId="0" xfId="0" applyNumberFormat="1" applyFont="1" applyAlignment="1">
      <alignment horizontal="center"/>
    </xf>
    <xf numFmtId="172" fontId="22" fillId="0" borderId="0" xfId="0" applyNumberFormat="1" applyFont="1" applyAlignment="1" applyProtection="1">
      <alignment horizontal="center"/>
    </xf>
    <xf numFmtId="172" fontId="18" fillId="0" borderId="0" xfId="0" applyNumberFormat="1" applyFont="1" applyBorder="1" applyAlignment="1">
      <alignment horizontal="right"/>
    </xf>
    <xf numFmtId="172" fontId="23" fillId="0" borderId="0" xfId="0" applyNumberFormat="1" applyFont="1" applyBorder="1"/>
    <xf numFmtId="172" fontId="18" fillId="0" borderId="0" xfId="0" applyNumberFormat="1" applyFont="1" applyBorder="1"/>
    <xf numFmtId="169" fontId="13" fillId="0" borderId="14" xfId="0" applyNumberFormat="1" applyFont="1" applyBorder="1" applyAlignment="1">
      <alignment horizontal="center"/>
    </xf>
    <xf numFmtId="169" fontId="13" fillId="0" borderId="10" xfId="0" applyNumberFormat="1" applyFont="1" applyBorder="1" applyAlignment="1">
      <alignment horizontal="center"/>
    </xf>
    <xf numFmtId="172" fontId="18" fillId="0" borderId="4" xfId="0" applyNumberFormat="1" applyFont="1" applyFill="1" applyBorder="1" applyAlignment="1">
      <alignment horizontal="center"/>
    </xf>
    <xf numFmtId="0" fontId="12" fillId="3" borderId="7" xfId="0" applyFont="1" applyFill="1" applyBorder="1" applyProtection="1">
      <protection locked="0"/>
    </xf>
    <xf numFmtId="14" fontId="12" fillId="3" borderId="7" xfId="0" applyNumberFormat="1" applyFont="1" applyFill="1" applyBorder="1" applyAlignment="1" applyProtection="1">
      <alignment horizontal="left"/>
      <protection locked="0"/>
    </xf>
    <xf numFmtId="9" fontId="12" fillId="3" borderId="7" xfId="0" applyNumberFormat="1" applyFont="1" applyFill="1" applyBorder="1" applyAlignment="1" applyProtection="1">
      <alignment horizontal="left"/>
      <protection locked="0"/>
    </xf>
    <xf numFmtId="1" fontId="12" fillId="3" borderId="7" xfId="0" applyNumberFormat="1" applyFont="1" applyFill="1" applyBorder="1" applyProtection="1">
      <protection locked="0"/>
    </xf>
    <xf numFmtId="0" fontId="0" fillId="3" borderId="7" xfId="0" applyFill="1" applyBorder="1" applyProtection="1">
      <protection locked="0"/>
    </xf>
    <xf numFmtId="164" fontId="4" fillId="2" borderId="7" xfId="0" applyNumberFormat="1" applyFont="1" applyFill="1" applyBorder="1" applyAlignment="1" applyProtection="1">
      <alignment horizontal="center"/>
      <protection locked="0"/>
    </xf>
    <xf numFmtId="164" fontId="4" fillId="0" borderId="7" xfId="0" applyNumberFormat="1" applyFont="1" applyFill="1" applyBorder="1" applyAlignment="1" applyProtection="1">
      <alignment horizontal="center"/>
      <protection locked="0"/>
    </xf>
    <xf numFmtId="164" fontId="4" fillId="0" borderId="4" xfId="0" applyNumberFormat="1" applyFont="1" applyFill="1" applyBorder="1" applyAlignment="1" applyProtection="1">
      <alignment horizontal="center"/>
      <protection locked="0"/>
    </xf>
    <xf numFmtId="0" fontId="25" fillId="0" borderId="0" xfId="0" applyFont="1" applyBorder="1"/>
    <xf numFmtId="0" fontId="6" fillId="0" borderId="0" xfId="0" applyFont="1"/>
    <xf numFmtId="0" fontId="9" fillId="0" borderId="0" xfId="0" applyFont="1"/>
    <xf numFmtId="0" fontId="6" fillId="0" borderId="0" xfId="0" applyFont="1" applyAlignment="1"/>
    <xf numFmtId="0" fontId="0" fillId="0" borderId="0" xfId="0" applyNumberFormat="1"/>
    <xf numFmtId="0" fontId="0" fillId="0" borderId="0" xfId="0" applyAlignment="1">
      <alignment vertical="top" wrapText="1"/>
    </xf>
    <xf numFmtId="0" fontId="10" fillId="0" borderId="0" xfId="0" applyFont="1"/>
    <xf numFmtId="174" fontId="0" fillId="0" borderId="15" xfId="0" applyNumberFormat="1" applyFill="1" applyBorder="1" applyAlignment="1">
      <alignment horizontal="center"/>
    </xf>
    <xf numFmtId="174" fontId="0" fillId="0" borderId="16" xfId="0" applyNumberFormat="1" applyFill="1" applyBorder="1" applyAlignment="1">
      <alignment horizontal="center"/>
    </xf>
    <xf numFmtId="174" fontId="0" fillId="0" borderId="0" xfId="0" applyNumberFormat="1"/>
    <xf numFmtId="0" fontId="12" fillId="0" borderId="0" xfId="0" applyFont="1" applyAlignment="1">
      <alignment horizontal="center"/>
    </xf>
    <xf numFmtId="0" fontId="27" fillId="0" borderId="0" xfId="0" applyFont="1"/>
    <xf numFmtId="0" fontId="0" fillId="0" borderId="0" xfId="0" applyAlignment="1">
      <alignment horizontal="center"/>
    </xf>
    <xf numFmtId="175" fontId="10" fillId="0" borderId="0" xfId="0" applyNumberFormat="1" applyFont="1" applyBorder="1"/>
    <xf numFmtId="174" fontId="28" fillId="2" borderId="15" xfId="0" applyNumberFormat="1" applyFont="1" applyFill="1" applyBorder="1" applyAlignment="1">
      <alignment horizontal="center"/>
    </xf>
    <xf numFmtId="0" fontId="29" fillId="0" borderId="0" xfId="0" applyFont="1"/>
    <xf numFmtId="0" fontId="6" fillId="0" borderId="0" xfId="0" applyFont="1" applyAlignment="1">
      <alignment horizontal="center"/>
    </xf>
    <xf numFmtId="167" fontId="10" fillId="0" borderId="0" xfId="0" applyNumberFormat="1" applyFont="1" applyBorder="1"/>
    <xf numFmtId="0" fontId="0" fillId="0" borderId="0" xfId="0" applyFill="1" applyBorder="1"/>
    <xf numFmtId="1" fontId="33" fillId="0" borderId="11" xfId="0" applyNumberFormat="1" applyFont="1" applyBorder="1" applyAlignment="1">
      <alignment horizontal="center"/>
    </xf>
    <xf numFmtId="169" fontId="33" fillId="0" borderId="13" xfId="0" applyNumberFormat="1" applyFont="1" applyBorder="1" applyAlignment="1">
      <alignment horizontal="center"/>
    </xf>
    <xf numFmtId="0" fontId="25" fillId="0" borderId="6" xfId="0" applyFont="1" applyBorder="1"/>
    <xf numFmtId="0" fontId="10" fillId="0" borderId="0" xfId="0" applyFont="1" applyFill="1" applyBorder="1"/>
    <xf numFmtId="0" fontId="10" fillId="0" borderId="0" xfId="0" applyFont="1" applyFill="1" applyBorder="1" applyAlignment="1">
      <alignment horizontal="right"/>
    </xf>
    <xf numFmtId="1" fontId="10" fillId="0" borderId="0" xfId="0" applyNumberFormat="1" applyFont="1" applyBorder="1" applyAlignment="1">
      <alignment horizontal="right"/>
    </xf>
    <xf numFmtId="0" fontId="31" fillId="4" borderId="7" xfId="0" applyFont="1" applyFill="1" applyBorder="1" applyAlignment="1" applyProtection="1">
      <alignment horizontal="center"/>
      <protection locked="0"/>
    </xf>
    <xf numFmtId="0" fontId="6" fillId="5" borderId="8" xfId="0" applyFont="1" applyFill="1" applyBorder="1" applyProtection="1"/>
    <xf numFmtId="167" fontId="0" fillId="5" borderId="9" xfId="0" applyNumberFormat="1" applyFill="1" applyBorder="1" applyProtection="1"/>
    <xf numFmtId="0" fontId="12" fillId="5" borderId="9" xfId="0" applyFont="1" applyFill="1" applyBorder="1" applyProtection="1"/>
    <xf numFmtId="0" fontId="26" fillId="0" borderId="17" xfId="0" applyFont="1" applyFill="1" applyBorder="1" applyAlignment="1" applyProtection="1">
      <alignment horizontal="center"/>
    </xf>
    <xf numFmtId="0" fontId="26" fillId="5" borderId="7" xfId="0" applyFont="1" applyFill="1" applyBorder="1" applyAlignment="1" applyProtection="1">
      <alignment horizontal="center"/>
    </xf>
    <xf numFmtId="0" fontId="0" fillId="0" borderId="0" xfId="0" applyProtection="1"/>
    <xf numFmtId="0" fontId="0" fillId="5" borderId="18" xfId="0" applyFill="1" applyBorder="1" applyProtection="1"/>
    <xf numFmtId="0" fontId="26" fillId="5" borderId="19" xfId="0" applyFont="1" applyFill="1" applyBorder="1" applyAlignment="1" applyProtection="1">
      <alignment horizontal="center"/>
    </xf>
    <xf numFmtId="0" fontId="31" fillId="0" borderId="17" xfId="0" applyFont="1" applyFill="1" applyBorder="1" applyAlignment="1" applyProtection="1">
      <alignment horizontal="center"/>
    </xf>
    <xf numFmtId="0" fontId="9" fillId="0" borderId="0" xfId="0" applyFont="1" applyAlignment="1" applyProtection="1">
      <alignment horizontal="center"/>
    </xf>
    <xf numFmtId="16" fontId="10" fillId="2" borderId="6" xfId="0" quotePrefix="1" applyNumberFormat="1" applyFont="1" applyFill="1" applyBorder="1" applyAlignment="1" applyProtection="1">
      <alignment horizontal="left"/>
    </xf>
    <xf numFmtId="175" fontId="10" fillId="2" borderId="20" xfId="0" applyNumberFormat="1" applyFont="1" applyFill="1" applyBorder="1" applyAlignment="1" applyProtection="1">
      <alignment horizontal="center"/>
    </xf>
    <xf numFmtId="175" fontId="10" fillId="2" borderId="0" xfId="0" applyNumberFormat="1" applyFont="1" applyFill="1" applyBorder="1" applyAlignment="1" applyProtection="1">
      <alignment horizontal="center"/>
    </xf>
    <xf numFmtId="175" fontId="10" fillId="0" borderId="17" xfId="0" applyNumberFormat="1" applyFont="1" applyBorder="1" applyAlignment="1" applyProtection="1">
      <alignment horizontal="center"/>
    </xf>
    <xf numFmtId="175" fontId="10" fillId="2" borderId="17" xfId="0" applyNumberFormat="1" applyFont="1" applyFill="1" applyBorder="1" applyAlignment="1" applyProtection="1">
      <alignment horizontal="center"/>
    </xf>
    <xf numFmtId="0" fontId="10" fillId="0" borderId="6" xfId="0" applyFont="1" applyBorder="1" applyProtection="1"/>
    <xf numFmtId="167" fontId="10" fillId="0" borderId="17" xfId="0" applyNumberFormat="1" applyFont="1" applyBorder="1" applyAlignment="1" applyProtection="1">
      <alignment horizontal="center"/>
    </xf>
    <xf numFmtId="167" fontId="10" fillId="0" borderId="0" xfId="0" applyNumberFormat="1" applyFont="1" applyBorder="1" applyAlignment="1" applyProtection="1">
      <alignment horizontal="center"/>
    </xf>
    <xf numFmtId="0" fontId="10" fillId="2" borderId="6" xfId="0" applyFont="1" applyFill="1" applyBorder="1" applyProtection="1"/>
    <xf numFmtId="167" fontId="10" fillId="2" borderId="17" xfId="0" applyNumberFormat="1" applyFont="1" applyFill="1" applyBorder="1" applyAlignment="1" applyProtection="1">
      <alignment horizontal="center"/>
    </xf>
    <xf numFmtId="167" fontId="10" fillId="2" borderId="0" xfId="0" applyNumberFormat="1" applyFont="1" applyFill="1" applyBorder="1" applyAlignment="1" applyProtection="1">
      <alignment horizontal="center"/>
    </xf>
    <xf numFmtId="0" fontId="10" fillId="2" borderId="6" xfId="0" applyFont="1" applyFill="1" applyBorder="1" applyAlignment="1" applyProtection="1"/>
    <xf numFmtId="0" fontId="10" fillId="0" borderId="6" xfId="0" applyFont="1" applyBorder="1" applyAlignment="1" applyProtection="1"/>
    <xf numFmtId="16" fontId="10" fillId="0" borderId="6" xfId="0" quotePrefix="1" applyNumberFormat="1" applyFont="1" applyBorder="1" applyAlignment="1" applyProtection="1">
      <alignment horizontal="left"/>
    </xf>
    <xf numFmtId="175" fontId="10" fillId="0" borderId="0" xfId="0" applyNumberFormat="1" applyFont="1" applyBorder="1" applyAlignment="1" applyProtection="1">
      <alignment horizontal="center"/>
    </xf>
    <xf numFmtId="16" fontId="10" fillId="2" borderId="6" xfId="0" applyNumberFormat="1" applyFont="1" applyFill="1" applyBorder="1" applyAlignment="1" applyProtection="1">
      <alignment horizontal="left"/>
    </xf>
    <xf numFmtId="0" fontId="7" fillId="0" borderId="11" xfId="0" applyFont="1" applyBorder="1" applyProtection="1"/>
    <xf numFmtId="175" fontId="10" fillId="0" borderId="21" xfId="0" applyNumberFormat="1" applyFont="1" applyBorder="1" applyAlignment="1" applyProtection="1">
      <alignment horizontal="center"/>
    </xf>
    <xf numFmtId="175" fontId="10" fillId="0" borderId="12" xfId="0" applyNumberFormat="1" applyFont="1" applyBorder="1" applyAlignment="1" applyProtection="1">
      <alignment horizontal="center"/>
    </xf>
    <xf numFmtId="0" fontId="10" fillId="2" borderId="8" xfId="0" applyFont="1" applyFill="1" applyBorder="1" applyProtection="1"/>
    <xf numFmtId="0" fontId="10" fillId="2" borderId="20" xfId="0" applyFont="1" applyFill="1" applyBorder="1" applyAlignment="1" applyProtection="1">
      <alignment horizontal="center"/>
    </xf>
    <xf numFmtId="0" fontId="10" fillId="2" borderId="9" xfId="0" applyFont="1" applyFill="1" applyBorder="1" applyAlignment="1" applyProtection="1">
      <alignment horizontal="center"/>
    </xf>
    <xf numFmtId="0" fontId="10" fillId="0" borderId="17" xfId="0" applyFont="1" applyBorder="1" applyAlignment="1" applyProtection="1">
      <alignment horizontal="center"/>
    </xf>
    <xf numFmtId="0" fontId="10" fillId="0" borderId="11" xfId="0" applyFont="1" applyBorder="1" applyProtection="1"/>
    <xf numFmtId="0" fontId="10" fillId="0" borderId="21" xfId="0" applyFont="1" applyBorder="1" applyAlignment="1" applyProtection="1">
      <alignment horizontal="center"/>
    </xf>
    <xf numFmtId="0" fontId="10" fillId="0" borderId="12" xfId="0" applyFont="1" applyBorder="1" applyAlignment="1" applyProtection="1">
      <alignment horizontal="center"/>
    </xf>
    <xf numFmtId="175" fontId="10" fillId="0" borderId="0" xfId="0" applyNumberFormat="1" applyFont="1" applyProtection="1"/>
    <xf numFmtId="0" fontId="9" fillId="0" borderId="0" xfId="0" applyFont="1" applyBorder="1" applyAlignment="1" applyProtection="1">
      <alignment horizontal="center"/>
    </xf>
    <xf numFmtId="1" fontId="10" fillId="0" borderId="17" xfId="0" applyNumberFormat="1" applyFont="1" applyBorder="1" applyAlignment="1" applyProtection="1">
      <alignment horizontal="center"/>
    </xf>
    <xf numFmtId="0" fontId="6" fillId="0" borderId="0" xfId="0" applyFont="1" applyFill="1" applyBorder="1"/>
    <xf numFmtId="16" fontId="10" fillId="0" borderId="0" xfId="0" quotePrefix="1" applyNumberFormat="1" applyFont="1" applyBorder="1" applyAlignment="1">
      <alignment horizontal="left"/>
    </xf>
    <xf numFmtId="0" fontId="10" fillId="0" borderId="0" xfId="0" applyFont="1" applyBorder="1"/>
    <xf numFmtId="0" fontId="7" fillId="0" borderId="0" xfId="0" applyFont="1" applyFill="1" applyBorder="1"/>
    <xf numFmtId="0" fontId="10" fillId="0" borderId="0" xfId="0" applyFont="1" applyBorder="1" applyAlignment="1"/>
    <xf numFmtId="16" fontId="10" fillId="0" borderId="0" xfId="0" applyNumberFormat="1" applyFont="1" applyBorder="1" applyAlignment="1">
      <alignment horizontal="left"/>
    </xf>
    <xf numFmtId="0" fontId="7" fillId="0" borderId="0" xfId="0" applyFont="1" applyBorder="1"/>
    <xf numFmtId="0" fontId="10" fillId="0" borderId="0" xfId="0" applyFont="1" applyAlignment="1" applyProtection="1">
      <alignment horizontal="center"/>
    </xf>
    <xf numFmtId="175" fontId="10" fillId="0" borderId="19" xfId="0" applyNumberFormat="1" applyFont="1" applyBorder="1" applyAlignment="1" applyProtection="1">
      <alignment horizontal="center"/>
    </xf>
    <xf numFmtId="175" fontId="10" fillId="0" borderId="9" xfId="0" applyNumberFormat="1" applyFont="1" applyBorder="1" applyAlignment="1" applyProtection="1">
      <alignment horizontal="center"/>
    </xf>
    <xf numFmtId="0" fontId="27" fillId="0" borderId="0" xfId="0" applyFont="1" applyProtection="1"/>
    <xf numFmtId="167" fontId="10" fillId="0" borderId="6" xfId="0" applyNumberFormat="1" applyFont="1" applyBorder="1" applyAlignment="1">
      <alignment horizontal="center"/>
    </xf>
    <xf numFmtId="167" fontId="10" fillId="2" borderId="6" xfId="0" applyNumberFormat="1" applyFont="1" applyFill="1" applyBorder="1" applyAlignment="1">
      <alignment horizontal="center"/>
    </xf>
    <xf numFmtId="1" fontId="0" fillId="0" borderId="0" xfId="0" applyNumberFormat="1" applyProtection="1"/>
    <xf numFmtId="0" fontId="10" fillId="0" borderId="0" xfId="0" applyFont="1" applyProtection="1"/>
    <xf numFmtId="176" fontId="34" fillId="0" borderId="0" xfId="0" applyNumberFormat="1" applyFont="1" applyAlignment="1">
      <alignment horizontal="center"/>
    </xf>
    <xf numFmtId="167" fontId="27" fillId="0" borderId="0" xfId="0" applyNumberFormat="1" applyFont="1" applyProtection="1"/>
    <xf numFmtId="167" fontId="27" fillId="0" borderId="0" xfId="0" applyNumberFormat="1" applyFont="1"/>
    <xf numFmtId="176" fontId="10" fillId="0" borderId="0" xfId="0" applyNumberFormat="1" applyFont="1" applyAlignment="1">
      <alignment horizontal="right"/>
    </xf>
    <xf numFmtId="176" fontId="34" fillId="0" borderId="0" xfId="0" applyNumberFormat="1" applyFont="1" applyAlignment="1">
      <alignment horizontal="right"/>
    </xf>
    <xf numFmtId="0" fontId="0" fillId="0" borderId="0" xfId="0" applyAlignment="1" applyProtection="1">
      <alignment horizontal="right"/>
    </xf>
    <xf numFmtId="0" fontId="34" fillId="0" borderId="0" xfId="0" applyFont="1" applyProtection="1"/>
    <xf numFmtId="0" fontId="10" fillId="0" borderId="0" xfId="0" applyFont="1" applyFill="1" applyAlignment="1">
      <alignment horizontal="center"/>
    </xf>
    <xf numFmtId="0" fontId="25" fillId="0" borderId="0" xfId="0" applyFont="1" applyAlignment="1">
      <alignment horizontal="center"/>
    </xf>
    <xf numFmtId="0" fontId="36" fillId="0" borderId="0" xfId="0" applyFont="1"/>
    <xf numFmtId="0" fontId="37" fillId="0" borderId="0" xfId="0" applyFont="1"/>
    <xf numFmtId="0" fontId="36" fillId="0" borderId="0" xfId="0" applyFont="1" applyBorder="1"/>
    <xf numFmtId="0" fontId="38" fillId="0" borderId="0" xfId="0" applyFont="1"/>
    <xf numFmtId="167" fontId="36" fillId="0" borderId="0" xfId="0" applyNumberFormat="1" applyFont="1" applyBorder="1" applyAlignment="1">
      <alignment horizontal="right"/>
    </xf>
    <xf numFmtId="0" fontId="36" fillId="0" borderId="0" xfId="0" applyFont="1" applyBorder="1" applyAlignment="1">
      <alignment horizontal="right"/>
    </xf>
    <xf numFmtId="0" fontId="36" fillId="0" borderId="0" xfId="0" applyFont="1" applyBorder="1" applyAlignment="1">
      <alignment horizontal="left"/>
    </xf>
    <xf numFmtId="22" fontId="10" fillId="0" borderId="0" xfId="0" applyNumberFormat="1" applyFont="1" applyFill="1" applyAlignment="1">
      <alignment horizontal="center"/>
    </xf>
    <xf numFmtId="0" fontId="25" fillId="0" borderId="0" xfId="0" applyFont="1" applyFill="1" applyProtection="1"/>
    <xf numFmtId="0" fontId="26" fillId="0" borderId="0" xfId="0" applyFont="1" applyProtection="1"/>
    <xf numFmtId="0" fontId="10" fillId="0" borderId="18" xfId="0" applyFont="1" applyFill="1" applyBorder="1" applyAlignment="1" applyProtection="1">
      <alignment horizontal="right"/>
    </xf>
    <xf numFmtId="1" fontId="10" fillId="0" borderId="7" xfId="0" applyNumberFormat="1" applyFont="1" applyBorder="1" applyAlignment="1" applyProtection="1">
      <alignment horizontal="center"/>
    </xf>
    <xf numFmtId="1" fontId="10" fillId="0" borderId="22" xfId="0" applyNumberFormat="1" applyFont="1" applyBorder="1" applyAlignment="1" applyProtection="1">
      <alignment horizontal="center"/>
    </xf>
    <xf numFmtId="0" fontId="10" fillId="0" borderId="7" xfId="0" applyFont="1" applyFill="1" applyBorder="1" applyAlignment="1" applyProtection="1">
      <alignment horizontal="center"/>
    </xf>
    <xf numFmtId="0" fontId="10" fillId="4" borderId="7" xfId="0" applyFont="1" applyFill="1" applyBorder="1" applyAlignment="1" applyProtection="1">
      <alignment horizontal="center"/>
      <protection locked="0"/>
    </xf>
    <xf numFmtId="175" fontId="10" fillId="0" borderId="7" xfId="0" applyNumberFormat="1" applyFont="1" applyBorder="1" applyAlignment="1" applyProtection="1">
      <alignment horizontal="center"/>
    </xf>
    <xf numFmtId="0" fontId="12" fillId="0" borderId="0" xfId="0" applyFont="1" applyAlignment="1" applyProtection="1">
      <alignment horizontal="center"/>
    </xf>
    <xf numFmtId="0" fontId="40" fillId="0" borderId="0" xfId="0" applyFont="1" applyProtection="1"/>
    <xf numFmtId="177" fontId="10" fillId="4" borderId="21" xfId="0" applyNumberFormat="1" applyFont="1" applyFill="1" applyBorder="1" applyAlignment="1" applyProtection="1">
      <alignment horizontal="center"/>
      <protection locked="0"/>
    </xf>
    <xf numFmtId="177" fontId="10" fillId="4" borderId="7" xfId="0" applyNumberFormat="1" applyFont="1" applyFill="1" applyBorder="1" applyAlignment="1" applyProtection="1">
      <alignment horizontal="center"/>
      <protection locked="0"/>
    </xf>
    <xf numFmtId="177" fontId="10" fillId="0" borderId="11" xfId="0" applyNumberFormat="1" applyFont="1" applyFill="1" applyBorder="1" applyAlignment="1" applyProtection="1">
      <alignment horizontal="center"/>
    </xf>
    <xf numFmtId="165" fontId="36" fillId="0" borderId="0" xfId="0" applyNumberFormat="1" applyFont="1" applyBorder="1"/>
    <xf numFmtId="0" fontId="43" fillId="0" borderId="23" xfId="0" applyFont="1" applyBorder="1" applyAlignment="1">
      <alignment horizontal="center"/>
    </xf>
    <xf numFmtId="20" fontId="18" fillId="0" borderId="2" xfId="0" applyNumberFormat="1" applyFont="1" applyBorder="1" applyAlignment="1">
      <alignment horizontal="center"/>
    </xf>
    <xf numFmtId="20" fontId="44" fillId="0" borderId="1" xfId="0" applyNumberFormat="1" applyFont="1" applyBorder="1" applyAlignment="1">
      <alignment horizontal="center"/>
    </xf>
    <xf numFmtId="164" fontId="32" fillId="0" borderId="7" xfId="0" applyNumberFormat="1" applyFont="1" applyFill="1" applyBorder="1" applyAlignment="1" applyProtection="1">
      <alignment horizontal="right"/>
      <protection locked="0"/>
    </xf>
    <xf numFmtId="164" fontId="32" fillId="0" borderId="4" xfId="0" applyNumberFormat="1" applyFont="1" applyFill="1" applyBorder="1" applyAlignment="1" applyProtection="1">
      <alignment horizontal="right"/>
      <protection locked="0"/>
    </xf>
    <xf numFmtId="164" fontId="32" fillId="2" borderId="7" xfId="0" applyNumberFormat="1" applyFont="1" applyFill="1" applyBorder="1" applyAlignment="1" applyProtection="1">
      <alignment horizontal="right"/>
      <protection locked="0"/>
    </xf>
    <xf numFmtId="0" fontId="9" fillId="0" borderId="10" xfId="0" applyFont="1" applyBorder="1"/>
    <xf numFmtId="0" fontId="9" fillId="0" borderId="13" xfId="0" applyFont="1" applyBorder="1"/>
    <xf numFmtId="0" fontId="47" fillId="0" borderId="0" xfId="0" applyFont="1"/>
    <xf numFmtId="0" fontId="48" fillId="0" borderId="0" xfId="0" applyFont="1"/>
    <xf numFmtId="0" fontId="47" fillId="0" borderId="0" xfId="0" quotePrefix="1" applyFont="1"/>
    <xf numFmtId="0" fontId="48" fillId="0" borderId="0" xfId="0" applyFont="1" applyAlignment="1">
      <alignment horizontal="right"/>
    </xf>
    <xf numFmtId="0" fontId="0" fillId="0" borderId="6" xfId="0" applyFill="1" applyBorder="1"/>
    <xf numFmtId="178" fontId="4" fillId="0" borderId="7" xfId="0" applyNumberFormat="1" applyFont="1" applyFill="1" applyBorder="1" applyAlignment="1" applyProtection="1">
      <alignment horizontal="center"/>
      <protection locked="0"/>
    </xf>
    <xf numFmtId="178" fontId="4" fillId="0" borderId="4" xfId="0" applyNumberFormat="1" applyFont="1" applyFill="1" applyBorder="1" applyAlignment="1" applyProtection="1">
      <alignment horizontal="center"/>
      <protection locked="0"/>
    </xf>
    <xf numFmtId="178" fontId="4" fillId="2" borderId="7" xfId="0" applyNumberFormat="1" applyFont="1" applyFill="1" applyBorder="1" applyAlignment="1" applyProtection="1">
      <alignment horizontal="center"/>
      <protection locked="0"/>
    </xf>
    <xf numFmtId="165" fontId="20" fillId="0" borderId="4" xfId="0" applyNumberFormat="1" applyFont="1" applyBorder="1" applyAlignment="1">
      <alignment horizontal="center"/>
    </xf>
    <xf numFmtId="172" fontId="21" fillId="0" borderId="24" xfId="0" applyNumberFormat="1" applyFont="1" applyFill="1" applyBorder="1" applyAlignment="1">
      <alignment horizontal="center"/>
    </xf>
    <xf numFmtId="174" fontId="0" fillId="0" borderId="25" xfId="0" applyNumberFormat="1" applyFill="1" applyBorder="1" applyAlignment="1">
      <alignment horizontal="center"/>
    </xf>
    <xf numFmtId="0" fontId="0" fillId="0" borderId="8" xfId="0" applyBorder="1" applyAlignment="1">
      <alignment horizontal="left" indent="1"/>
    </xf>
    <xf numFmtId="0" fontId="0" fillId="0" borderId="6" xfId="0" applyBorder="1" applyAlignment="1">
      <alignment horizontal="left" indent="1"/>
    </xf>
    <xf numFmtId="171" fontId="19" fillId="0" borderId="0" xfId="0" applyNumberFormat="1" applyFont="1" applyBorder="1" applyAlignment="1">
      <alignment horizontal="center"/>
    </xf>
    <xf numFmtId="0" fontId="0" fillId="0" borderId="9" xfId="0" applyBorder="1" applyAlignment="1">
      <alignment horizontal="right"/>
    </xf>
    <xf numFmtId="0" fontId="0" fillId="0" borderId="9" xfId="0" applyBorder="1" applyAlignment="1">
      <alignment horizontal="left"/>
    </xf>
    <xf numFmtId="170" fontId="18" fillId="0" borderId="14" xfId="0" applyNumberFormat="1" applyFont="1" applyBorder="1" applyAlignment="1">
      <alignment horizontal="center"/>
    </xf>
    <xf numFmtId="170" fontId="18" fillId="0" borderId="10" xfId="0" applyNumberFormat="1" applyFont="1" applyBorder="1" applyAlignment="1">
      <alignment horizontal="center"/>
    </xf>
    <xf numFmtId="0" fontId="0" fillId="0" borderId="12" xfId="0" applyBorder="1" applyAlignment="1">
      <alignment horizontal="left"/>
    </xf>
    <xf numFmtId="170" fontId="19" fillId="0" borderId="13" xfId="0" applyNumberFormat="1" applyFont="1" applyBorder="1" applyAlignment="1">
      <alignment horizontal="center"/>
    </xf>
    <xf numFmtId="173" fontId="18" fillId="0" borderId="14" xfId="0" applyNumberFormat="1" applyFont="1" applyBorder="1" applyAlignment="1">
      <alignment horizontal="center"/>
    </xf>
    <xf numFmtId="169" fontId="19" fillId="0" borderId="13" xfId="0" applyNumberFormat="1" applyFont="1" applyBorder="1" applyAlignment="1">
      <alignment horizontal="center"/>
    </xf>
    <xf numFmtId="0" fontId="5" fillId="0" borderId="8" xfId="0" applyFont="1" applyBorder="1" applyAlignment="1">
      <alignment horizontal="left" indent="1"/>
    </xf>
    <xf numFmtId="0" fontId="0" fillId="0" borderId="9" xfId="0" applyBorder="1" applyAlignment="1"/>
    <xf numFmtId="173" fontId="21" fillId="0" borderId="14" xfId="0" applyNumberFormat="1" applyFont="1" applyBorder="1" applyAlignment="1">
      <alignment horizontal="center"/>
    </xf>
    <xf numFmtId="0" fontId="0" fillId="0" borderId="6" xfId="0" applyFill="1" applyBorder="1" applyAlignment="1">
      <alignment horizontal="left" indent="1"/>
    </xf>
    <xf numFmtId="173" fontId="21" fillId="0" borderId="10" xfId="0" applyNumberFormat="1" applyFont="1" applyBorder="1" applyAlignment="1">
      <alignment horizontal="center"/>
    </xf>
    <xf numFmtId="169" fontId="20" fillId="0" borderId="13" xfId="0" applyNumberFormat="1" applyFont="1" applyBorder="1" applyAlignment="1">
      <alignment horizontal="center"/>
    </xf>
    <xf numFmtId="0" fontId="20" fillId="2" borderId="18" xfId="0" quotePrefix="1" applyFont="1" applyFill="1" applyBorder="1" applyAlignment="1">
      <alignment horizontal="center"/>
    </xf>
    <xf numFmtId="172" fontId="20" fillId="2" borderId="19" xfId="0" applyNumberFormat="1" applyFont="1" applyFill="1" applyBorder="1" applyAlignment="1">
      <alignment horizontal="center"/>
    </xf>
    <xf numFmtId="0" fontId="12" fillId="0" borderId="6" xfId="0" applyFont="1" applyBorder="1" applyAlignment="1">
      <alignment horizontal="left" indent="1"/>
    </xf>
    <xf numFmtId="0" fontId="12" fillId="0" borderId="11" xfId="0" applyFont="1" applyBorder="1" applyAlignment="1">
      <alignment horizontal="left" indent="1"/>
    </xf>
    <xf numFmtId="0" fontId="12" fillId="0" borderId="11" xfId="0" applyFont="1" applyFill="1" applyBorder="1" applyAlignment="1">
      <alignment horizontal="left" indent="1"/>
    </xf>
    <xf numFmtId="0" fontId="9" fillId="0" borderId="0" xfId="0" quotePrefix="1" applyFont="1" applyBorder="1" applyAlignment="1">
      <alignment horizontal="center"/>
    </xf>
    <xf numFmtId="174" fontId="10" fillId="0" borderId="26" xfId="0" applyNumberFormat="1" applyFont="1" applyFill="1" applyBorder="1" applyAlignment="1" applyProtection="1">
      <alignment horizontal="right"/>
      <protection locked="0"/>
    </xf>
    <xf numFmtId="172" fontId="18" fillId="0" borderId="21" xfId="0" applyNumberFormat="1" applyFont="1" applyFill="1" applyBorder="1" applyAlignment="1" applyProtection="1">
      <alignment horizontal="center"/>
    </xf>
    <xf numFmtId="172" fontId="21" fillId="0" borderId="7" xfId="0" applyNumberFormat="1" applyFont="1" applyFill="1" applyBorder="1" applyAlignment="1" applyProtection="1">
      <alignment horizontal="center"/>
    </xf>
    <xf numFmtId="172" fontId="21" fillId="0" borderId="4" xfId="0" applyNumberFormat="1" applyFont="1" applyFill="1" applyBorder="1" applyAlignment="1" applyProtection="1">
      <alignment horizontal="center"/>
    </xf>
    <xf numFmtId="0" fontId="5" fillId="0" borderId="6" xfId="0" applyFont="1" applyBorder="1"/>
    <xf numFmtId="0" fontId="14" fillId="0" borderId="0" xfId="0" applyFont="1" applyFill="1"/>
    <xf numFmtId="0" fontId="1" fillId="0" borderId="0" xfId="0" applyFont="1" applyFill="1"/>
    <xf numFmtId="0" fontId="47" fillId="0" borderId="0" xfId="0" applyFont="1" applyAlignment="1">
      <alignment horizontal="right"/>
    </xf>
    <xf numFmtId="16" fontId="12" fillId="0" borderId="0" xfId="0" applyNumberFormat="1" applyFont="1" applyAlignment="1">
      <alignment horizontal="right"/>
    </xf>
    <xf numFmtId="0" fontId="55" fillId="0" borderId="0" xfId="0" applyFont="1"/>
    <xf numFmtId="0" fontId="55" fillId="0" borderId="0" xfId="0" applyFont="1" applyAlignment="1">
      <alignment horizontal="left"/>
    </xf>
    <xf numFmtId="0" fontId="56" fillId="0" borderId="0" xfId="0" applyFont="1"/>
    <xf numFmtId="0" fontId="59" fillId="0" borderId="27" xfId="1" applyBorder="1" applyAlignment="1" applyProtection="1">
      <alignment horizontal="center"/>
    </xf>
    <xf numFmtId="0" fontId="64" fillId="0" borderId="0" xfId="0" applyFont="1" applyFill="1" applyBorder="1" applyAlignment="1">
      <alignment horizontal="center" vertical="center"/>
    </xf>
    <xf numFmtId="180" fontId="65" fillId="0" borderId="28" xfId="0" applyNumberFormat="1" applyFont="1" applyFill="1" applyBorder="1" applyAlignment="1">
      <alignment horizontal="center" vertical="center"/>
    </xf>
    <xf numFmtId="181" fontId="65" fillId="0" borderId="28" xfId="0" applyNumberFormat="1" applyFont="1" applyFill="1" applyBorder="1" applyAlignment="1">
      <alignment horizontal="center" vertical="center"/>
    </xf>
    <xf numFmtId="181" fontId="65" fillId="0" borderId="29" xfId="0" applyNumberFormat="1" applyFont="1" applyFill="1" applyBorder="1" applyAlignment="1">
      <alignment horizontal="center" vertical="center"/>
    </xf>
    <xf numFmtId="14" fontId="0" fillId="0" borderId="0" xfId="0" applyNumberFormat="1"/>
    <xf numFmtId="180" fontId="67" fillId="0" borderId="0" xfId="0" applyNumberFormat="1" applyFont="1" applyFill="1" applyBorder="1" applyAlignment="1">
      <alignment horizontal="center" vertical="center"/>
    </xf>
    <xf numFmtId="181" fontId="67" fillId="0" borderId="0" xfId="0" applyNumberFormat="1" applyFont="1" applyFill="1" applyBorder="1" applyAlignment="1">
      <alignment horizontal="center" vertical="center"/>
    </xf>
    <xf numFmtId="0" fontId="66" fillId="0" borderId="30" xfId="0" applyFont="1" applyBorder="1" applyAlignment="1">
      <alignment horizontal="center"/>
    </xf>
    <xf numFmtId="178" fontId="66" fillId="0" borderId="31" xfId="0" applyNumberFormat="1" applyFont="1" applyBorder="1" applyAlignment="1">
      <alignment horizontal="center"/>
    </xf>
    <xf numFmtId="0" fontId="63" fillId="6" borderId="32" xfId="0" applyFont="1" applyFill="1" applyBorder="1" applyAlignment="1">
      <alignment horizontal="center" vertical="center"/>
    </xf>
    <xf numFmtId="0" fontId="63" fillId="6" borderId="33" xfId="0" applyFont="1" applyFill="1" applyBorder="1" applyAlignment="1">
      <alignment horizontal="center" vertical="center"/>
    </xf>
    <xf numFmtId="0" fontId="63" fillId="6" borderId="34" xfId="0" applyFont="1" applyFill="1" applyBorder="1" applyAlignment="1">
      <alignment horizontal="center" vertical="center"/>
    </xf>
    <xf numFmtId="178" fontId="66" fillId="0" borderId="30" xfId="0" applyNumberFormat="1" applyFont="1" applyBorder="1" applyAlignment="1">
      <alignment horizontal="center"/>
    </xf>
    <xf numFmtId="0" fontId="63" fillId="0" borderId="29" xfId="0" applyNumberFormat="1" applyFont="1" applyFill="1" applyBorder="1" applyAlignment="1">
      <alignment horizontal="center" vertical="center"/>
    </xf>
    <xf numFmtId="181" fontId="67" fillId="0" borderId="35" xfId="0" applyNumberFormat="1" applyFont="1" applyFill="1" applyBorder="1" applyAlignment="1">
      <alignment horizontal="center" vertical="center"/>
    </xf>
    <xf numFmtId="0" fontId="67" fillId="0" borderId="35" xfId="0" applyNumberFormat="1" applyFont="1" applyFill="1" applyBorder="1" applyAlignment="1">
      <alignment horizontal="center" vertical="center"/>
    </xf>
    <xf numFmtId="0" fontId="0" fillId="0" borderId="0" xfId="0" applyFill="1" applyProtection="1">
      <protection locked="0"/>
    </xf>
    <xf numFmtId="0" fontId="0" fillId="0" borderId="0" xfId="0" applyProtection="1">
      <protection locked="0"/>
    </xf>
    <xf numFmtId="167" fontId="10" fillId="0" borderId="0" xfId="0" applyNumberFormat="1" applyFont="1" applyBorder="1" applyProtection="1"/>
    <xf numFmtId="167" fontId="10" fillId="0" borderId="6" xfId="0" applyNumberFormat="1" applyFont="1" applyBorder="1" applyProtection="1"/>
    <xf numFmtId="0" fontId="10" fillId="0" borderId="0" xfId="0" applyFont="1" applyBorder="1" applyProtection="1"/>
    <xf numFmtId="0" fontId="10" fillId="0" borderId="10" xfId="0" applyFont="1" applyBorder="1" applyProtection="1"/>
    <xf numFmtId="167" fontId="69" fillId="0" borderId="6" xfId="0" applyNumberFormat="1" applyFont="1" applyBorder="1" applyProtection="1"/>
    <xf numFmtId="0" fontId="0" fillId="0" borderId="0" xfId="0" applyAlignment="1" applyProtection="1">
      <alignment vertical="center"/>
    </xf>
    <xf numFmtId="0" fontId="34" fillId="0" borderId="0" xfId="0" applyFont="1" applyAlignment="1" applyProtection="1">
      <alignment vertical="center"/>
    </xf>
    <xf numFmtId="0" fontId="10" fillId="0" borderId="0" xfId="0" applyFont="1" applyAlignment="1" applyProtection="1">
      <alignment vertical="center"/>
    </xf>
    <xf numFmtId="0" fontId="0" fillId="0" borderId="0" xfId="0" applyAlignment="1">
      <alignment vertical="center"/>
    </xf>
    <xf numFmtId="175" fontId="10" fillId="0" borderId="9" xfId="0" applyNumberFormat="1" applyFont="1" applyBorder="1" applyAlignment="1" applyProtection="1">
      <alignment horizontal="center" vertical="center"/>
    </xf>
    <xf numFmtId="176" fontId="34" fillId="0" borderId="0" xfId="0" applyNumberFormat="1" applyFont="1" applyAlignment="1">
      <alignment horizontal="right" vertical="center"/>
    </xf>
    <xf numFmtId="0" fontId="10" fillId="0" borderId="0" xfId="0" applyFont="1" applyAlignment="1">
      <alignment vertical="center"/>
    </xf>
    <xf numFmtId="1" fontId="0" fillId="0" borderId="0" xfId="0" applyNumberFormat="1" applyAlignment="1" applyProtection="1">
      <alignment vertical="center"/>
    </xf>
    <xf numFmtId="0" fontId="25" fillId="0" borderId="0" xfId="0" applyFont="1"/>
    <xf numFmtId="0" fontId="35" fillId="0" borderId="0" xfId="0" applyFont="1"/>
    <xf numFmtId="0" fontId="71" fillId="0" borderId="0" xfId="0" applyFont="1" applyAlignment="1">
      <alignment horizontal="center"/>
    </xf>
    <xf numFmtId="14" fontId="25" fillId="0" borderId="0" xfId="0" applyNumberFormat="1" applyFont="1" applyAlignment="1">
      <alignment horizontal="left"/>
    </xf>
    <xf numFmtId="14" fontId="25" fillId="0" borderId="0" xfId="0" applyNumberFormat="1" applyFont="1"/>
    <xf numFmtId="167" fontId="69" fillId="0" borderId="0" xfId="0" applyNumberFormat="1" applyFont="1" applyBorder="1" applyAlignment="1">
      <alignment vertical="center"/>
    </xf>
    <xf numFmtId="167" fontId="69" fillId="0" borderId="6" xfId="0" applyNumberFormat="1" applyFont="1" applyBorder="1" applyAlignment="1" applyProtection="1">
      <alignment vertical="center"/>
    </xf>
    <xf numFmtId="0" fontId="10" fillId="0" borderId="0" xfId="0" applyFont="1" applyBorder="1" applyAlignment="1" applyProtection="1">
      <alignment vertical="center"/>
    </xf>
    <xf numFmtId="0" fontId="0" fillId="0" borderId="11" xfId="0" applyBorder="1" applyAlignment="1">
      <alignment vertical="center"/>
    </xf>
    <xf numFmtId="0" fontId="0" fillId="0" borderId="12" xfId="0" applyBorder="1" applyAlignment="1">
      <alignment vertical="center"/>
    </xf>
    <xf numFmtId="0" fontId="25" fillId="0" borderId="0" xfId="0" applyFont="1" applyAlignment="1" applyProtection="1">
      <alignment vertical="center"/>
    </xf>
    <xf numFmtId="0" fontId="10" fillId="0" borderId="10" xfId="0" applyFont="1" applyBorder="1"/>
    <xf numFmtId="0" fontId="10" fillId="0" borderId="10" xfId="0" applyFont="1" applyBorder="1" applyAlignment="1">
      <alignment vertical="center"/>
    </xf>
    <xf numFmtId="167" fontId="69" fillId="0" borderId="0" xfId="0" applyNumberFormat="1" applyFont="1" applyBorder="1" applyAlignment="1"/>
    <xf numFmtId="0" fontId="10" fillId="0" borderId="6" xfId="0" applyFont="1" applyBorder="1" applyAlignment="1"/>
    <xf numFmtId="0" fontId="10" fillId="0" borderId="11" xfId="0" applyFont="1" applyBorder="1" applyAlignment="1">
      <alignment vertical="center"/>
    </xf>
    <xf numFmtId="167" fontId="10" fillId="0" borderId="10" xfId="0" applyNumberFormat="1" applyFont="1" applyBorder="1" applyAlignment="1" applyProtection="1"/>
    <xf numFmtId="167" fontId="10" fillId="0" borderId="13" xfId="0" applyNumberFormat="1" applyFont="1" applyBorder="1" applyAlignment="1" applyProtection="1">
      <alignment vertical="center"/>
    </xf>
    <xf numFmtId="182" fontId="69" fillId="0" borderId="6" xfId="0" applyNumberFormat="1" applyFont="1" applyBorder="1" applyProtection="1"/>
    <xf numFmtId="182" fontId="69" fillId="0" borderId="0" xfId="0" applyNumberFormat="1" applyFont="1" applyBorder="1" applyAlignment="1"/>
    <xf numFmtId="183" fontId="10" fillId="0" borderId="0" xfId="0" applyNumberFormat="1" applyFont="1" applyBorder="1" applyAlignment="1" applyProtection="1"/>
    <xf numFmtId="182" fontId="10" fillId="0" borderId="0" xfId="0" applyNumberFormat="1" applyFont="1" applyBorder="1" applyAlignment="1"/>
    <xf numFmtId="183" fontId="69" fillId="0" borderId="0" xfId="0" applyNumberFormat="1" applyFont="1" applyBorder="1" applyAlignment="1" applyProtection="1"/>
    <xf numFmtId="0" fontId="0" fillId="0" borderId="0" xfId="0" applyAlignment="1"/>
    <xf numFmtId="0" fontId="6" fillId="0" borderId="0" xfId="0" applyFont="1" applyFill="1" applyBorder="1" applyAlignment="1">
      <alignment horizontal="left"/>
    </xf>
    <xf numFmtId="0" fontId="31" fillId="0" borderId="0" xfId="0" applyFont="1" applyAlignment="1">
      <alignment horizontal="right"/>
    </xf>
    <xf numFmtId="172" fontId="21" fillId="2" borderId="7" xfId="0" applyNumberFormat="1" applyFont="1" applyFill="1" applyBorder="1" applyAlignment="1" applyProtection="1">
      <alignment horizontal="center"/>
    </xf>
    <xf numFmtId="172" fontId="18" fillId="0" borderId="7" xfId="0" applyNumberFormat="1" applyFont="1" applyFill="1" applyBorder="1" applyAlignment="1" applyProtection="1">
      <alignment horizontal="center"/>
    </xf>
    <xf numFmtId="172" fontId="18" fillId="0" borderId="4" xfId="0" applyNumberFormat="1" applyFont="1" applyFill="1" applyBorder="1" applyAlignment="1" applyProtection="1">
      <alignment horizontal="center"/>
    </xf>
    <xf numFmtId="0" fontId="25" fillId="0" borderId="9" xfId="0" applyFont="1" applyBorder="1"/>
    <xf numFmtId="0" fontId="25" fillId="0" borderId="12" xfId="0" applyFont="1" applyBorder="1"/>
    <xf numFmtId="18" fontId="0" fillId="0" borderId="0" xfId="0" applyNumberFormat="1" applyBorder="1"/>
    <xf numFmtId="18" fontId="0" fillId="0" borderId="12" xfId="0" applyNumberFormat="1" applyBorder="1"/>
    <xf numFmtId="184" fontId="0" fillId="0" borderId="0" xfId="0" applyNumberFormat="1"/>
    <xf numFmtId="184" fontId="0" fillId="0" borderId="12" xfId="0" applyNumberFormat="1" applyBorder="1"/>
    <xf numFmtId="184" fontId="1" fillId="0" borderId="10" xfId="0" applyNumberFormat="1" applyFont="1" applyBorder="1" applyAlignment="1">
      <alignment horizontal="center"/>
    </xf>
    <xf numFmtId="18" fontId="0" fillId="0" borderId="9" xfId="0" applyNumberFormat="1" applyBorder="1" applyAlignment="1">
      <alignment horizontal="right"/>
    </xf>
    <xf numFmtId="18" fontId="0" fillId="0" borderId="0" xfId="0" applyNumberFormat="1" applyBorder="1" applyAlignment="1">
      <alignment horizontal="right"/>
    </xf>
    <xf numFmtId="0" fontId="72" fillId="0" borderId="0" xfId="0" applyFont="1" applyFill="1" applyBorder="1" applyAlignment="1">
      <alignment horizontal="left"/>
    </xf>
    <xf numFmtId="0" fontId="72" fillId="0" borderId="0" xfId="0" applyFont="1" applyAlignment="1"/>
    <xf numFmtId="0" fontId="72" fillId="0" borderId="0" xfId="0" applyFont="1"/>
    <xf numFmtId="0" fontId="72" fillId="0" borderId="0" xfId="0" applyFont="1" applyFill="1" applyBorder="1" applyAlignment="1"/>
    <xf numFmtId="0" fontId="73" fillId="0" borderId="0" xfId="0" applyFont="1"/>
    <xf numFmtId="0" fontId="75" fillId="0" borderId="0" xfId="0" applyFont="1"/>
    <xf numFmtId="0" fontId="76" fillId="5" borderId="8" xfId="0" applyFont="1" applyFill="1" applyBorder="1"/>
    <xf numFmtId="0" fontId="0" fillId="5" borderId="9" xfId="0" applyFill="1" applyBorder="1"/>
    <xf numFmtId="0" fontId="6" fillId="5" borderId="6" xfId="0" applyFont="1" applyFill="1" applyBorder="1"/>
    <xf numFmtId="0" fontId="0" fillId="5" borderId="0" xfId="0" applyFill="1" applyBorder="1"/>
    <xf numFmtId="0" fontId="49" fillId="5" borderId="0" xfId="0" applyFont="1" applyFill="1" applyBorder="1"/>
    <xf numFmtId="0" fontId="0" fillId="5" borderId="10" xfId="0" applyFill="1" applyBorder="1"/>
    <xf numFmtId="0" fontId="6" fillId="0" borderId="36" xfId="0" applyFont="1" applyBorder="1" applyAlignment="1">
      <alignment horizontal="center"/>
    </xf>
    <xf numFmtId="178" fontId="77" fillId="2" borderId="7" xfId="0" applyNumberFormat="1" applyFont="1" applyFill="1" applyBorder="1" applyAlignment="1" applyProtection="1">
      <alignment horizontal="center"/>
      <protection locked="0"/>
    </xf>
    <xf numFmtId="178" fontId="77" fillId="0" borderId="7" xfId="0" applyNumberFormat="1" applyFont="1" applyFill="1" applyBorder="1" applyAlignment="1" applyProtection="1">
      <alignment horizontal="center"/>
      <protection locked="0"/>
    </xf>
    <xf numFmtId="178" fontId="77" fillId="0" borderId="4" xfId="0" applyNumberFormat="1" applyFont="1" applyFill="1" applyBorder="1" applyAlignment="1" applyProtection="1">
      <alignment horizontal="center"/>
      <protection locked="0"/>
    </xf>
    <xf numFmtId="173" fontId="7" fillId="0" borderId="0" xfId="0" applyNumberFormat="1" applyFont="1"/>
    <xf numFmtId="178" fontId="29" fillId="0" borderId="37" xfId="0" applyNumberFormat="1" applyFont="1" applyBorder="1" applyProtection="1"/>
    <xf numFmtId="0" fontId="7" fillId="0" borderId="0" xfId="0" applyFont="1" applyProtection="1"/>
    <xf numFmtId="0" fontId="11" fillId="0" borderId="0" xfId="0" applyFont="1" applyBorder="1" applyAlignment="1" applyProtection="1">
      <alignment horizontal="center"/>
    </xf>
    <xf numFmtId="0" fontId="7" fillId="0" borderId="0" xfId="0" applyFont="1" applyBorder="1" applyAlignment="1" applyProtection="1">
      <alignment horizontal="center"/>
    </xf>
    <xf numFmtId="0" fontId="9" fillId="0" borderId="0" xfId="0" quotePrefix="1" applyFont="1" applyBorder="1" applyAlignment="1" applyProtection="1">
      <alignment horizontal="center"/>
    </xf>
    <xf numFmtId="0" fontId="7" fillId="0" borderId="0" xfId="0" quotePrefix="1" applyFont="1" applyAlignment="1" applyProtection="1">
      <alignment horizontal="center"/>
    </xf>
    <xf numFmtId="0" fontId="10" fillId="0" borderId="0" xfId="0" applyFont="1" applyBorder="1" applyAlignment="1" applyProtection="1">
      <alignment horizontal="center"/>
    </xf>
    <xf numFmtId="0" fontId="10" fillId="0" borderId="38" xfId="0" applyFont="1" applyBorder="1" applyAlignment="1" applyProtection="1">
      <alignment horizontal="center"/>
      <protection locked="0"/>
    </xf>
    <xf numFmtId="164" fontId="32" fillId="2" borderId="39" xfId="0" applyNumberFormat="1" applyFont="1" applyFill="1" applyBorder="1" applyAlignment="1" applyProtection="1">
      <alignment horizontal="right"/>
      <protection locked="0"/>
    </xf>
    <xf numFmtId="0" fontId="10" fillId="0" borderId="40" xfId="0" applyFont="1" applyBorder="1" applyAlignment="1" applyProtection="1">
      <alignment horizontal="center"/>
      <protection locked="0"/>
    </xf>
    <xf numFmtId="164" fontId="32" fillId="0" borderId="41" xfId="0" applyNumberFormat="1" applyFont="1" applyFill="1" applyBorder="1" applyAlignment="1" applyProtection="1">
      <alignment horizontal="right"/>
      <protection locked="0"/>
    </xf>
    <xf numFmtId="164" fontId="32" fillId="0" borderId="37" xfId="0" applyNumberFormat="1" applyFont="1" applyFill="1" applyBorder="1" applyAlignment="1" applyProtection="1">
      <alignment horizontal="right"/>
      <protection locked="0"/>
    </xf>
    <xf numFmtId="0" fontId="0" fillId="0" borderId="0" xfId="0" applyFill="1" applyProtection="1"/>
    <xf numFmtId="0" fontId="0" fillId="0" borderId="0" xfId="0" applyAlignment="1" applyProtection="1">
      <alignment horizontal="center"/>
    </xf>
    <xf numFmtId="0" fontId="10" fillId="0" borderId="0" xfId="0" applyFont="1" applyFill="1" applyProtection="1"/>
    <xf numFmtId="18" fontId="10" fillId="0" borderId="0" xfId="0" applyNumberFormat="1" applyFont="1" applyFill="1" applyProtection="1"/>
    <xf numFmtId="0" fontId="25" fillId="0" borderId="0" xfId="0" applyFont="1" applyProtection="1"/>
    <xf numFmtId="0" fontId="9" fillId="0" borderId="0" xfId="0" applyFont="1" applyProtection="1"/>
    <xf numFmtId="164" fontId="0" fillId="0" borderId="26" xfId="0" applyNumberFormat="1" applyFill="1" applyBorder="1" applyAlignment="1" applyProtection="1">
      <alignment horizontal="center"/>
      <protection locked="0"/>
    </xf>
    <xf numFmtId="178" fontId="21" fillId="0" borderId="24" xfId="0" applyNumberFormat="1" applyFont="1" applyFill="1" applyBorder="1" applyAlignment="1" applyProtection="1">
      <alignment horizontal="center"/>
      <protection locked="0"/>
    </xf>
    <xf numFmtId="178" fontId="0" fillId="0" borderId="26" xfId="0" applyNumberFormat="1" applyFill="1" applyBorder="1" applyAlignment="1" applyProtection="1">
      <alignment horizontal="center"/>
      <protection locked="0"/>
    </xf>
    <xf numFmtId="164" fontId="32" fillId="0" borderId="42" xfId="0" applyNumberFormat="1" applyFont="1" applyFill="1" applyBorder="1" applyAlignment="1" applyProtection="1">
      <alignment horizontal="right"/>
      <protection locked="0"/>
    </xf>
    <xf numFmtId="174" fontId="10" fillId="0" borderId="41" xfId="0" applyNumberFormat="1" applyFont="1" applyFill="1" applyBorder="1" applyAlignment="1" applyProtection="1">
      <alignment horizontal="right"/>
      <protection locked="0"/>
    </xf>
    <xf numFmtId="0" fontId="0" fillId="0" borderId="0" xfId="0" applyAlignment="1">
      <alignment wrapText="1"/>
    </xf>
    <xf numFmtId="164" fontId="25" fillId="0" borderId="0" xfId="0" applyNumberFormat="1" applyFont="1" applyProtection="1"/>
    <xf numFmtId="1" fontId="32" fillId="0" borderId="37" xfId="0" applyNumberFormat="1" applyFont="1" applyFill="1" applyBorder="1" applyAlignment="1" applyProtection="1">
      <alignment horizontal="right"/>
      <protection locked="0"/>
    </xf>
    <xf numFmtId="1" fontId="10" fillId="0" borderId="43" xfId="0" applyNumberFormat="1" applyFont="1" applyFill="1" applyBorder="1" applyAlignment="1" applyProtection="1">
      <alignment horizontal="right"/>
      <protection locked="0"/>
    </xf>
    <xf numFmtId="1" fontId="25" fillId="0" borderId="0" xfId="0" applyNumberFormat="1" applyFont="1" applyProtection="1"/>
    <xf numFmtId="1" fontId="32" fillId="2" borderId="37" xfId="0" applyNumberFormat="1" applyFont="1" applyFill="1" applyBorder="1" applyAlignment="1" applyProtection="1">
      <alignment horizontal="right"/>
      <protection locked="0"/>
    </xf>
    <xf numFmtId="178" fontId="9" fillId="0" borderId="0" xfId="0" applyNumberFormat="1" applyFont="1" applyBorder="1" applyAlignment="1" applyProtection="1">
      <alignment horizontal="center"/>
    </xf>
    <xf numFmtId="1" fontId="32" fillId="0" borderId="40" xfId="0" applyNumberFormat="1" applyFont="1" applyFill="1" applyBorder="1" applyAlignment="1" applyProtection="1">
      <alignment horizontal="right"/>
      <protection locked="0"/>
    </xf>
    <xf numFmtId="164" fontId="32" fillId="2" borderId="41" xfId="0" applyNumberFormat="1" applyFont="1" applyFill="1" applyBorder="1" applyAlignment="1" applyProtection="1">
      <alignment horizontal="right"/>
      <protection locked="0"/>
    </xf>
    <xf numFmtId="164" fontId="32" fillId="0" borderId="44" xfId="0" applyNumberFormat="1" applyFont="1" applyFill="1" applyBorder="1" applyAlignment="1" applyProtection="1">
      <alignment horizontal="right"/>
      <protection locked="0"/>
    </xf>
    <xf numFmtId="1" fontId="32" fillId="0" borderId="45" xfId="0" applyNumberFormat="1" applyFont="1" applyFill="1" applyBorder="1" applyAlignment="1" applyProtection="1">
      <alignment horizontal="right"/>
      <protection locked="0"/>
    </xf>
    <xf numFmtId="172" fontId="18" fillId="0" borderId="0" xfId="0" applyNumberFormat="1" applyFont="1" applyProtection="1"/>
    <xf numFmtId="0" fontId="5" fillId="0" borderId="0" xfId="0" applyFont="1" applyProtection="1"/>
    <xf numFmtId="0" fontId="46" fillId="0" borderId="0" xfId="0" applyFont="1" applyFill="1" applyAlignment="1" applyProtection="1">
      <alignment horizontal="right"/>
    </xf>
    <xf numFmtId="0" fontId="25" fillId="0" borderId="0" xfId="0" applyFont="1" applyAlignment="1" applyProtection="1">
      <alignment horizontal="center"/>
    </xf>
    <xf numFmtId="0" fontId="25" fillId="7" borderId="0" xfId="0" applyFont="1" applyFill="1" applyProtection="1"/>
    <xf numFmtId="0" fontId="39" fillId="7" borderId="0" xfId="0" applyFont="1" applyFill="1" applyProtection="1"/>
    <xf numFmtId="0" fontId="39" fillId="7" borderId="0" xfId="0" applyFont="1" applyFill="1" applyAlignment="1" applyProtection="1">
      <alignment horizontal="center"/>
    </xf>
    <xf numFmtId="172" fontId="35" fillId="7" borderId="0" xfId="0" applyNumberFormat="1" applyFont="1" applyFill="1" applyProtection="1"/>
    <xf numFmtId="0" fontId="61" fillId="7" borderId="0" xfId="0" applyFont="1" applyFill="1" applyAlignment="1" applyProtection="1">
      <alignment horizontal="center"/>
    </xf>
    <xf numFmtId="0" fontId="2" fillId="0" borderId="0" xfId="0" applyFont="1" applyBorder="1" applyAlignment="1" applyProtection="1">
      <alignment horizontal="centerContinuous" vertical="justify"/>
    </xf>
    <xf numFmtId="0" fontId="0" fillId="0" borderId="0" xfId="0" applyBorder="1" applyAlignment="1" applyProtection="1">
      <alignment horizontal="left" vertical="center"/>
    </xf>
    <xf numFmtId="0" fontId="0" fillId="0" borderId="0" xfId="0" applyBorder="1" applyAlignment="1" applyProtection="1">
      <alignment horizontal="centerContinuous"/>
    </xf>
    <xf numFmtId="166" fontId="5" fillId="0" borderId="0" xfId="0" applyNumberFormat="1" applyFont="1" applyBorder="1" applyAlignment="1" applyProtection="1">
      <alignment horizontal="left" vertical="center"/>
    </xf>
    <xf numFmtId="0" fontId="0" fillId="0" borderId="0" xfId="0" applyBorder="1" applyAlignment="1" applyProtection="1">
      <alignment horizontal="center" vertical="center"/>
    </xf>
    <xf numFmtId="172" fontId="18" fillId="0" borderId="0" xfId="0" applyNumberFormat="1" applyFont="1" applyBorder="1" applyAlignment="1" applyProtection="1">
      <alignment horizontal="centerContinuous"/>
    </xf>
    <xf numFmtId="0" fontId="5" fillId="0" borderId="0" xfId="0" applyFont="1" applyBorder="1" applyAlignment="1" applyProtection="1">
      <alignment horizontal="centerContinuous"/>
    </xf>
    <xf numFmtId="0" fontId="6" fillId="0" borderId="27" xfId="0" applyFont="1" applyBorder="1" applyAlignment="1" applyProtection="1">
      <alignment vertical="justify"/>
    </xf>
    <xf numFmtId="166" fontId="40" fillId="0" borderId="27" xfId="0" applyNumberFormat="1" applyFont="1" applyBorder="1" applyAlignment="1" applyProtection="1">
      <alignment horizontal="left" vertical="top"/>
    </xf>
    <xf numFmtId="0" fontId="5" fillId="0" borderId="27" xfId="0" applyFont="1" applyBorder="1" applyAlignment="1" applyProtection="1">
      <alignment horizontal="left"/>
    </xf>
    <xf numFmtId="0" fontId="6" fillId="0" borderId="27" xfId="0" applyFont="1" applyBorder="1" applyAlignment="1" applyProtection="1">
      <alignment horizontal="center"/>
    </xf>
    <xf numFmtId="166" fontId="7" fillId="0" borderId="27" xfId="0" applyNumberFormat="1" applyFont="1" applyBorder="1" applyAlignment="1" applyProtection="1">
      <alignment horizontal="center" vertical="top"/>
    </xf>
    <xf numFmtId="172" fontId="18" fillId="0" borderId="27" xfId="0" applyNumberFormat="1" applyFont="1" applyBorder="1" applyAlignment="1" applyProtection="1"/>
    <xf numFmtId="0" fontId="25" fillId="8" borderId="0" xfId="0" applyFont="1" applyFill="1" applyProtection="1"/>
    <xf numFmtId="0" fontId="39" fillId="8" borderId="0" xfId="0" applyFont="1" applyFill="1" applyProtection="1"/>
    <xf numFmtId="0" fontId="39" fillId="8" borderId="0" xfId="0" applyFont="1" applyFill="1" applyAlignment="1" applyProtection="1">
      <alignment horizontal="center"/>
    </xf>
    <xf numFmtId="172" fontId="35" fillId="8" borderId="0" xfId="0" applyNumberFormat="1" applyFont="1" applyFill="1" applyProtection="1"/>
    <xf numFmtId="0" fontId="61" fillId="8" borderId="0" xfId="0" applyFont="1" applyFill="1" applyAlignment="1" applyProtection="1">
      <alignment horizontal="center"/>
    </xf>
    <xf numFmtId="0" fontId="0" fillId="9" borderId="0" xfId="0" applyFill="1" applyProtection="1"/>
    <xf numFmtId="0" fontId="2" fillId="9" borderId="0" xfId="0" applyFont="1" applyFill="1" applyProtection="1"/>
    <xf numFmtId="0" fontId="2" fillId="9" borderId="0" xfId="0" applyFont="1" applyFill="1" applyAlignment="1" applyProtection="1">
      <alignment horizontal="center"/>
    </xf>
    <xf numFmtId="172" fontId="18" fillId="9" borderId="0" xfId="0" applyNumberFormat="1" applyFont="1" applyFill="1" applyProtection="1"/>
    <xf numFmtId="0" fontId="5" fillId="9" borderId="0" xfId="0" applyFont="1" applyFill="1" applyProtection="1"/>
    <xf numFmtId="0" fontId="60" fillId="9" borderId="0" xfId="0" applyFont="1" applyFill="1" applyAlignment="1" applyProtection="1">
      <alignment horizontal="center"/>
    </xf>
    <xf numFmtId="0" fontId="54" fillId="0" borderId="0" xfId="0" applyFont="1" applyFill="1" applyAlignment="1" applyProtection="1">
      <alignment horizontal="right"/>
    </xf>
    <xf numFmtId="0" fontId="0" fillId="10" borderId="0" xfId="0" applyFill="1" applyProtection="1"/>
    <xf numFmtId="0" fontId="2" fillId="10" borderId="0" xfId="0" applyFont="1" applyFill="1" applyProtection="1"/>
    <xf numFmtId="0" fontId="2" fillId="10" borderId="0" xfId="0" applyFont="1" applyFill="1" applyAlignment="1" applyProtection="1">
      <alignment horizontal="center"/>
    </xf>
    <xf numFmtId="172" fontId="18" fillId="10" borderId="0" xfId="0" applyNumberFormat="1" applyFont="1" applyFill="1" applyProtection="1"/>
    <xf numFmtId="0" fontId="5" fillId="10" borderId="0" xfId="0" applyFont="1" applyFill="1" applyProtection="1"/>
    <xf numFmtId="0" fontId="60" fillId="10" borderId="0" xfId="0" applyFont="1" applyFill="1" applyAlignment="1" applyProtection="1">
      <alignment horizontal="center"/>
    </xf>
    <xf numFmtId="0" fontId="25" fillId="11" borderId="0" xfId="0" applyFont="1" applyFill="1" applyProtection="1"/>
    <xf numFmtId="0" fontId="39" fillId="11" borderId="0" xfId="0" applyFont="1" applyFill="1" applyProtection="1"/>
    <xf numFmtId="0" fontId="39" fillId="11" borderId="0" xfId="0" applyFont="1" applyFill="1" applyAlignment="1" applyProtection="1">
      <alignment horizontal="center"/>
    </xf>
    <xf numFmtId="172" fontId="35" fillId="11" borderId="0" xfId="0" applyNumberFormat="1" applyFont="1" applyFill="1" applyProtection="1"/>
    <xf numFmtId="0" fontId="61" fillId="11" borderId="0" xfId="0" applyFont="1" applyFill="1" applyAlignment="1" applyProtection="1">
      <alignment horizontal="center"/>
    </xf>
    <xf numFmtId="0" fontId="1" fillId="12" borderId="0" xfId="0" applyFont="1" applyFill="1" applyProtection="1"/>
    <xf numFmtId="0" fontId="2" fillId="12" borderId="0" xfId="0" applyFont="1" applyFill="1" applyProtection="1"/>
    <xf numFmtId="0" fontId="2" fillId="12" borderId="0" xfId="0" applyFont="1" applyFill="1" applyAlignment="1" applyProtection="1">
      <alignment horizontal="center"/>
    </xf>
    <xf numFmtId="172" fontId="24" fillId="12" borderId="0" xfId="0" applyNumberFormat="1" applyFont="1" applyFill="1" applyProtection="1"/>
    <xf numFmtId="0" fontId="41" fillId="12" borderId="0" xfId="0" applyFont="1" applyFill="1" applyProtection="1"/>
    <xf numFmtId="0" fontId="60" fillId="12" borderId="0" xfId="0" applyFont="1" applyFill="1" applyAlignment="1" applyProtection="1">
      <alignment horizontal="center"/>
    </xf>
    <xf numFmtId="0" fontId="0" fillId="12" borderId="0" xfId="0" applyFill="1" applyProtection="1"/>
    <xf numFmtId="172" fontId="18" fillId="12" borderId="0" xfId="0" applyNumberFormat="1" applyFont="1" applyFill="1" applyProtection="1"/>
    <xf numFmtId="0" fontId="5" fillId="12" borderId="0" xfId="0" applyFont="1" applyFill="1" applyProtection="1"/>
    <xf numFmtId="0" fontId="0" fillId="13" borderId="0" xfId="0" applyFill="1" applyProtection="1"/>
    <xf numFmtId="0" fontId="2" fillId="13" borderId="0" xfId="0" applyFont="1" applyFill="1" applyProtection="1"/>
    <xf numFmtId="0" fontId="2" fillId="13" borderId="0" xfId="0" applyFont="1" applyFill="1" applyAlignment="1" applyProtection="1">
      <alignment horizontal="center"/>
    </xf>
    <xf numFmtId="172" fontId="18" fillId="13" borderId="0" xfId="0" applyNumberFormat="1" applyFont="1" applyFill="1" applyProtection="1"/>
    <xf numFmtId="0" fontId="5" fillId="13" borderId="0" xfId="0" applyFont="1" applyFill="1" applyProtection="1"/>
    <xf numFmtId="0" fontId="60" fillId="13" borderId="0" xfId="0" applyFont="1" applyFill="1" applyAlignment="1" applyProtection="1">
      <alignment horizontal="center"/>
    </xf>
    <xf numFmtId="0" fontId="0" fillId="4" borderId="0" xfId="0" applyFill="1" applyProtection="1"/>
    <xf numFmtId="0" fontId="2" fillId="4" borderId="0" xfId="0" applyFont="1" applyFill="1" applyProtection="1"/>
    <xf numFmtId="0" fontId="2" fillId="4" borderId="0" xfId="0" applyFont="1" applyFill="1" applyAlignment="1" applyProtection="1">
      <alignment horizontal="center"/>
    </xf>
    <xf numFmtId="172" fontId="18" fillId="4" borderId="0" xfId="0" applyNumberFormat="1" applyFont="1" applyFill="1" applyProtection="1"/>
    <xf numFmtId="0" fontId="5" fillId="4" borderId="0" xfId="0" applyFont="1" applyFill="1" applyProtection="1"/>
    <xf numFmtId="0" fontId="60" fillId="4" borderId="0" xfId="0" applyFont="1" applyFill="1" applyAlignment="1" applyProtection="1">
      <alignment horizontal="center"/>
    </xf>
    <xf numFmtId="20" fontId="45" fillId="0" borderId="27" xfId="0" applyNumberFormat="1" applyFont="1" applyBorder="1" applyAlignment="1" applyProtection="1">
      <alignment horizontal="center" vertical="justify"/>
    </xf>
    <xf numFmtId="0" fontId="0" fillId="5" borderId="0" xfId="0" applyFill="1" applyProtection="1"/>
    <xf numFmtId="0" fontId="2" fillId="5" borderId="0" xfId="0" applyFont="1" applyFill="1" applyProtection="1"/>
    <xf numFmtId="0" fontId="2" fillId="5" borderId="0" xfId="0" applyFont="1" applyFill="1" applyAlignment="1" applyProtection="1">
      <alignment horizontal="center"/>
    </xf>
    <xf numFmtId="172" fontId="18" fillId="5" borderId="0" xfId="0" applyNumberFormat="1" applyFont="1" applyFill="1" applyProtection="1"/>
    <xf numFmtId="0" fontId="5" fillId="5" borderId="0" xfId="0" applyFont="1" applyFill="1" applyProtection="1"/>
    <xf numFmtId="0" fontId="60" fillId="5" borderId="0" xfId="0" applyFont="1" applyFill="1" applyAlignment="1" applyProtection="1">
      <alignment horizontal="center"/>
    </xf>
    <xf numFmtId="10" fontId="0" fillId="0" borderId="0" xfId="0" applyNumberFormat="1"/>
    <xf numFmtId="0" fontId="24" fillId="0" borderId="0" xfId="0" applyFont="1"/>
    <xf numFmtId="10" fontId="6" fillId="0" borderId="0" xfId="0" applyNumberFormat="1" applyFont="1"/>
    <xf numFmtId="9" fontId="6" fillId="0" borderId="0" xfId="0" applyNumberFormat="1" applyFont="1"/>
    <xf numFmtId="0" fontId="72" fillId="0" borderId="0" xfId="0" applyFont="1" applyAlignment="1">
      <alignment horizontal="left"/>
    </xf>
    <xf numFmtId="0" fontId="81" fillId="0" borderId="0" xfId="0" applyFont="1" applyFill="1" applyBorder="1" applyAlignment="1"/>
    <xf numFmtId="0" fontId="81" fillId="0" borderId="0" xfId="0" applyFont="1" applyAlignment="1"/>
    <xf numFmtId="0" fontId="49" fillId="0" borderId="0" xfId="0" applyFont="1"/>
    <xf numFmtId="0" fontId="80" fillId="0" borderId="0" xfId="0" applyFont="1"/>
    <xf numFmtId="0" fontId="7" fillId="0" borderId="12" xfId="0" applyFont="1" applyBorder="1" applyProtection="1"/>
    <xf numFmtId="0" fontId="62" fillId="0" borderId="35" xfId="0" applyFont="1" applyBorder="1" applyAlignment="1">
      <alignment horizontal="center" vertical="top"/>
    </xf>
    <xf numFmtId="0" fontId="0" fillId="0" borderId="35" xfId="0" applyBorder="1" applyAlignment="1"/>
    <xf numFmtId="0" fontId="58" fillId="0" borderId="0" xfId="0" applyFont="1" applyFill="1" applyAlignment="1">
      <alignment horizontal="right" vertical="center"/>
    </xf>
    <xf numFmtId="0" fontId="58" fillId="0" borderId="0" xfId="0" applyFont="1" applyAlignment="1">
      <alignment vertical="center"/>
    </xf>
    <xf numFmtId="0" fontId="53" fillId="0" borderId="0" xfId="0" applyFont="1" applyFill="1" applyAlignment="1" applyProtection="1">
      <alignment horizontal="center" vertical="center"/>
      <protection locked="0"/>
    </xf>
    <xf numFmtId="0" fontId="54" fillId="0" borderId="0" xfId="0" applyFont="1" applyAlignment="1" applyProtection="1">
      <alignment vertical="center"/>
      <protection locked="0"/>
    </xf>
    <xf numFmtId="0" fontId="57" fillId="0" borderId="0" xfId="0" applyFont="1" applyFill="1" applyAlignment="1">
      <alignment horizontal="center" vertical="center"/>
    </xf>
    <xf numFmtId="0" fontId="0" fillId="0" borderId="0" xfId="0" applyAlignment="1">
      <alignment horizontal="center"/>
    </xf>
    <xf numFmtId="0" fontId="6" fillId="0" borderId="12" xfId="0" applyFont="1" applyBorder="1" applyAlignment="1"/>
    <xf numFmtId="0" fontId="0" fillId="0" borderId="12" xfId="0" applyBorder="1" applyAlignment="1"/>
    <xf numFmtId="0" fontId="56" fillId="0" borderId="0" xfId="0" applyFont="1" applyAlignment="1"/>
    <xf numFmtId="0" fontId="6" fillId="0" borderId="0" xfId="0" applyFont="1" applyAlignment="1"/>
    <xf numFmtId="0" fontId="0" fillId="0" borderId="0" xfId="0" applyAlignment="1"/>
    <xf numFmtId="0" fontId="72" fillId="0" borderId="0" xfId="0" applyFont="1" applyAlignment="1"/>
    <xf numFmtId="0" fontId="0" fillId="0" borderId="6" xfId="0" applyBorder="1" applyAlignment="1"/>
    <xf numFmtId="0" fontId="0" fillId="0" borderId="0" xfId="0" applyBorder="1" applyAlignment="1"/>
    <xf numFmtId="0" fontId="31" fillId="5" borderId="9" xfId="0" applyFont="1" applyFill="1" applyBorder="1" applyAlignment="1">
      <alignment horizontal="center"/>
    </xf>
    <xf numFmtId="0" fontId="31" fillId="5" borderId="14" xfId="0" applyFont="1" applyFill="1" applyBorder="1" applyAlignment="1">
      <alignment horizontal="center"/>
    </xf>
    <xf numFmtId="0" fontId="12" fillId="0" borderId="0" xfId="0" applyFont="1" applyAlignment="1" applyProtection="1">
      <alignment horizontal="center"/>
    </xf>
    <xf numFmtId="0" fontId="12" fillId="0" borderId="0" xfId="0" applyFont="1" applyAlignment="1">
      <alignment horizontal="center"/>
    </xf>
    <xf numFmtId="179" fontId="21" fillId="0" borderId="12" xfId="0" applyNumberFormat="1" applyFont="1" applyBorder="1" applyAlignment="1">
      <alignment horizontal="center"/>
    </xf>
    <xf numFmtId="0" fontId="0" fillId="0" borderId="13" xfId="0" applyBorder="1" applyAlignment="1">
      <alignment horizontal="center"/>
    </xf>
    <xf numFmtId="0" fontId="40" fillId="0" borderId="11" xfId="0" applyFont="1" applyBorder="1" applyAlignment="1">
      <alignment horizontal="center"/>
    </xf>
    <xf numFmtId="0" fontId="40" fillId="0" borderId="12" xfId="0" applyFont="1" applyBorder="1" applyAlignment="1">
      <alignment horizontal="center"/>
    </xf>
    <xf numFmtId="0" fontId="52" fillId="2" borderId="18" xfId="0" applyFont="1" applyFill="1" applyBorder="1" applyAlignment="1">
      <alignment horizontal="center"/>
    </xf>
    <xf numFmtId="0" fontId="52" fillId="0" borderId="19" xfId="0" applyFont="1" applyBorder="1" applyAlignment="1">
      <alignment horizontal="center"/>
    </xf>
    <xf numFmtId="0" fontId="52" fillId="0" borderId="22" xfId="0" applyFont="1" applyBorder="1" applyAlignment="1">
      <alignment horizontal="center"/>
    </xf>
    <xf numFmtId="165" fontId="12" fillId="0" borderId="11" xfId="0" applyNumberFormat="1" applyFont="1" applyBorder="1" applyAlignment="1">
      <alignment horizontal="center"/>
    </xf>
    <xf numFmtId="0" fontId="52" fillId="2" borderId="19" xfId="0" applyFont="1" applyFill="1" applyBorder="1" applyAlignment="1">
      <alignment horizontal="center"/>
    </xf>
    <xf numFmtId="0" fontId="0" fillId="0" borderId="19" xfId="0" applyBorder="1" applyAlignment="1">
      <alignment horizontal="center"/>
    </xf>
    <xf numFmtId="0" fontId="0" fillId="0" borderId="22" xfId="0" applyBorder="1" applyAlignment="1">
      <alignment horizontal="center"/>
    </xf>
    <xf numFmtId="165" fontId="17" fillId="0" borderId="0" xfId="0" applyNumberFormat="1" applyFont="1" applyAlignment="1" applyProtection="1">
      <alignment horizontal="center"/>
    </xf>
    <xf numFmtId="0" fontId="10" fillId="0" borderId="48" xfId="0" applyFont="1" applyBorder="1" applyAlignment="1" applyProtection="1">
      <alignment horizontal="center"/>
      <protection locked="0"/>
    </xf>
    <xf numFmtId="0" fontId="0" fillId="0" borderId="43" xfId="0" applyBorder="1" applyAlignment="1" applyProtection="1">
      <alignment horizontal="center"/>
      <protection locked="0"/>
    </xf>
    <xf numFmtId="172" fontId="40" fillId="0" borderId="6" xfId="0" applyNumberFormat="1" applyFont="1" applyBorder="1" applyAlignment="1">
      <alignment horizontal="center"/>
    </xf>
    <xf numFmtId="0" fontId="40" fillId="0" borderId="0" xfId="0" applyFont="1" applyBorder="1" applyAlignment="1"/>
    <xf numFmtId="0" fontId="5" fillId="0" borderId="0" xfId="0" applyNumberFormat="1" applyFont="1" applyBorder="1" applyAlignment="1">
      <alignment horizontal="center"/>
    </xf>
    <xf numFmtId="0" fontId="0" fillId="0" borderId="10" xfId="0" applyBorder="1" applyAlignment="1">
      <alignment horizontal="center"/>
    </xf>
    <xf numFmtId="0" fontId="6" fillId="0" borderId="46" xfId="0" applyFont="1" applyBorder="1" applyAlignment="1">
      <alignment horizontal="center"/>
    </xf>
    <xf numFmtId="0" fontId="0" fillId="0" borderId="47" xfId="0" applyBorder="1" applyAlignment="1">
      <alignment horizontal="center"/>
    </xf>
    <xf numFmtId="0" fontId="46" fillId="2" borderId="18" xfId="0" quotePrefix="1" applyFont="1" applyFill="1" applyBorder="1" applyAlignment="1">
      <alignment horizontal="center"/>
    </xf>
    <xf numFmtId="0" fontId="12" fillId="0" borderId="8" xfId="0" applyFont="1" applyBorder="1" applyAlignment="1"/>
    <xf numFmtId="0" fontId="0" fillId="0" borderId="14" xfId="0" applyBorder="1" applyAlignment="1"/>
    <xf numFmtId="0" fontId="12" fillId="0" borderId="6" xfId="0" applyFont="1" applyBorder="1" applyAlignment="1"/>
    <xf numFmtId="0" fontId="0" fillId="0" borderId="10" xfId="0" applyBorder="1" applyAlignment="1"/>
    <xf numFmtId="172" fontId="40" fillId="0" borderId="8" xfId="0" applyNumberFormat="1" applyFont="1" applyBorder="1" applyAlignment="1">
      <alignment horizontal="center"/>
    </xf>
    <xf numFmtId="0" fontId="40" fillId="0" borderId="9" xfId="0" applyFont="1" applyBorder="1" applyAlignment="1"/>
    <xf numFmtId="0" fontId="52" fillId="2" borderId="8" xfId="0" applyFont="1" applyFill="1" applyBorder="1" applyAlignment="1">
      <alignment horizontal="center"/>
    </xf>
    <xf numFmtId="0" fontId="52" fillId="2" borderId="9" xfId="0" applyFont="1" applyFill="1"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0" fontId="5" fillId="0" borderId="9" xfId="0" applyNumberFormat="1" applyFont="1" applyBorder="1" applyAlignment="1">
      <alignment horizontal="center"/>
    </xf>
    <xf numFmtId="0" fontId="46" fillId="2" borderId="19" xfId="0" quotePrefix="1" applyFont="1" applyFill="1" applyBorder="1" applyAlignment="1">
      <alignment horizontal="center"/>
    </xf>
    <xf numFmtId="179" fontId="21" fillId="0" borderId="13" xfId="0" applyNumberFormat="1" applyFont="1" applyBorder="1" applyAlignment="1">
      <alignment horizontal="center"/>
    </xf>
    <xf numFmtId="0" fontId="68" fillId="6" borderId="0" xfId="0" applyFont="1" applyFill="1" applyAlignment="1" applyProtection="1">
      <alignment horizontal="center" vertical="center"/>
    </xf>
    <xf numFmtId="0" fontId="68" fillId="6" borderId="0" xfId="0" applyFont="1" applyFill="1" applyAlignment="1">
      <alignment horizontal="center" vertical="center"/>
    </xf>
    <xf numFmtId="183" fontId="10" fillId="0" borderId="11" xfId="0" applyNumberFormat="1" applyFont="1" applyBorder="1" applyAlignment="1" applyProtection="1">
      <alignment vertical="center"/>
    </xf>
    <xf numFmtId="183" fontId="0" fillId="0" borderId="12" xfId="0" applyNumberFormat="1" applyBorder="1" applyAlignment="1">
      <alignment vertical="center"/>
    </xf>
    <xf numFmtId="183" fontId="10" fillId="0" borderId="6" xfId="0" applyNumberFormat="1" applyFont="1" applyBorder="1" applyAlignment="1" applyProtection="1"/>
    <xf numFmtId="183" fontId="10" fillId="0" borderId="0" xfId="0" applyNumberFormat="1" applyFont="1" applyBorder="1" applyAlignment="1" applyProtection="1"/>
    <xf numFmtId="0" fontId="70" fillId="6" borderId="8" xfId="0" applyFont="1" applyFill="1" applyBorder="1" applyAlignment="1" applyProtection="1">
      <alignment horizontal="center" vertical="center"/>
    </xf>
    <xf numFmtId="0" fontId="70" fillId="6" borderId="9" xfId="0" applyFont="1" applyFill="1" applyBorder="1" applyAlignment="1" applyProtection="1">
      <alignment horizontal="center" vertical="center"/>
    </xf>
    <xf numFmtId="0" fontId="70" fillId="6" borderId="14" xfId="0" applyFont="1" applyFill="1" applyBorder="1" applyAlignment="1" applyProtection="1">
      <alignment horizontal="center" vertical="center"/>
    </xf>
    <xf numFmtId="183" fontId="0" fillId="0" borderId="0" xfId="0" applyNumberFormat="1" applyBorder="1" applyAlignment="1"/>
    <xf numFmtId="0" fontId="0" fillId="0" borderId="0" xfId="0" applyAlignment="1">
      <alignment wrapText="1"/>
    </xf>
    <xf numFmtId="0" fontId="0" fillId="0" borderId="0" xfId="0" applyAlignment="1">
      <alignment vertical="top" wrapText="1"/>
    </xf>
    <xf numFmtId="0" fontId="0" fillId="0" borderId="0" xfId="0" applyAlignment="1">
      <alignment horizontal="left" vertical="top"/>
    </xf>
  </cellXfs>
  <cellStyles count="2">
    <cellStyle name="Hyperkobling" xfId="1" builtinId="8"/>
    <cellStyle name="Normal" xfId="0" builtinId="0"/>
  </cellStyles>
  <dxfs count="386">
    <dxf>
      <font>
        <condense val="0"/>
        <extend val="0"/>
        <color indexed="9"/>
      </font>
    </dxf>
    <dxf>
      <font>
        <condense val="0"/>
        <extend val="0"/>
        <color auto="1"/>
      </font>
      <fill>
        <patternFill>
          <bgColor indexed="22"/>
        </patternFill>
      </fill>
    </dxf>
    <dxf>
      <fill>
        <patternFill>
          <bgColor indexed="43"/>
        </patternFill>
      </fill>
    </dxf>
    <dxf>
      <border>
        <left/>
        <right/>
        <bottom/>
      </border>
    </dxf>
    <dxf>
      <font>
        <condense val="0"/>
        <extend val="0"/>
        <color indexed="9"/>
      </font>
    </dxf>
    <dxf>
      <font>
        <strike val="0"/>
        <condense val="0"/>
        <extend val="0"/>
        <color indexed="9"/>
      </font>
    </dxf>
    <dxf>
      <font>
        <condense val="0"/>
        <extend val="0"/>
        <color auto="1"/>
      </font>
      <fill>
        <patternFill>
          <bgColor indexed="51"/>
        </patternFill>
      </fill>
    </dxf>
    <dxf>
      <font>
        <condense val="0"/>
        <extend val="0"/>
        <color indexed="10"/>
      </font>
      <fill>
        <patternFill>
          <bgColor indexed="51"/>
        </patternFill>
      </fill>
    </dxf>
    <dxf>
      <font>
        <condense val="0"/>
        <extend val="0"/>
        <color auto="1"/>
      </font>
      <fill>
        <patternFill>
          <bgColor indexed="43"/>
        </patternFill>
      </fill>
    </dxf>
    <dxf>
      <fill>
        <patternFill>
          <bgColor indexed="13"/>
        </patternFill>
      </fill>
    </dxf>
    <dxf>
      <fill>
        <patternFill>
          <bgColor indexed="31"/>
        </patternFill>
      </fill>
    </dxf>
    <dxf>
      <font>
        <condense val="0"/>
        <extend val="0"/>
        <color auto="1"/>
      </font>
      <fill>
        <patternFill patternType="lightUp">
          <fgColor indexed="51"/>
          <bgColor indexed="65"/>
        </patternFill>
      </fill>
    </dxf>
    <dxf>
      <font>
        <condense val="0"/>
        <extend val="0"/>
        <color indexed="10"/>
      </font>
      <fill>
        <patternFill patternType="lightUp">
          <fgColor indexed="51"/>
          <bgColor indexed="65"/>
        </patternFill>
      </fill>
    </dxf>
    <dxf>
      <font>
        <condense val="0"/>
        <extend val="0"/>
        <color auto="1"/>
      </font>
      <fill>
        <patternFill patternType="lightUp">
          <fgColor indexed="13"/>
          <bgColor indexed="65"/>
        </patternFill>
      </fill>
    </dxf>
    <dxf>
      <font>
        <condense val="0"/>
        <extend val="0"/>
        <color auto="1"/>
      </font>
      <fill>
        <patternFill>
          <bgColor indexed="22"/>
        </patternFill>
      </fill>
    </dxf>
    <dxf>
      <fill>
        <patternFill>
          <bgColor indexed="43"/>
        </patternFill>
      </fill>
    </dxf>
    <dxf>
      <font>
        <condense val="0"/>
        <extend val="0"/>
        <color indexed="10"/>
      </font>
      <fill>
        <patternFill>
          <bgColor indexed="22"/>
        </patternFill>
      </fill>
    </dxf>
    <dxf>
      <font>
        <b/>
        <i val="0"/>
        <condense val="0"/>
        <extend val="0"/>
        <color indexed="12"/>
      </font>
      <fill>
        <patternFill>
          <bgColor indexed="9"/>
        </patternFill>
      </fill>
    </dxf>
    <dxf>
      <font>
        <b/>
        <i val="0"/>
        <condense val="0"/>
        <extend val="0"/>
        <color indexed="10"/>
      </font>
      <fill>
        <patternFill patternType="solid">
          <bgColor indexed="22"/>
        </patternFill>
      </fill>
    </dxf>
    <dxf>
      <font>
        <condense val="0"/>
        <extend val="0"/>
        <color indexed="9"/>
      </font>
      <fill>
        <patternFill>
          <bgColor indexed="22"/>
        </patternFill>
      </fill>
    </dxf>
    <dxf>
      <fill>
        <patternFill>
          <bgColor indexed="43"/>
        </patternFill>
      </fill>
    </dxf>
    <dxf>
      <font>
        <b/>
        <i val="0"/>
        <condense val="0"/>
        <extend val="0"/>
      </font>
    </dxf>
    <dxf>
      <font>
        <b/>
        <i val="0"/>
        <condense val="0"/>
        <extend val="0"/>
      </font>
    </dxf>
    <dxf>
      <fill>
        <patternFill>
          <bgColor indexed="22"/>
        </patternFill>
      </fill>
    </dxf>
    <dxf>
      <font>
        <condense val="0"/>
        <extend val="0"/>
        <color indexed="9"/>
      </font>
    </dxf>
    <dxf>
      <font>
        <condense val="0"/>
        <extend val="0"/>
        <color auto="1"/>
      </font>
      <fill>
        <patternFill>
          <bgColor indexed="22"/>
        </patternFill>
      </fill>
    </dxf>
    <dxf>
      <fill>
        <patternFill>
          <bgColor indexed="43"/>
        </patternFill>
      </fill>
    </dxf>
    <dxf>
      <border>
        <left/>
        <right/>
        <bottom/>
      </border>
    </dxf>
    <dxf>
      <font>
        <condense val="0"/>
        <extend val="0"/>
        <color indexed="9"/>
      </font>
    </dxf>
    <dxf>
      <font>
        <strike val="0"/>
        <condense val="0"/>
        <extend val="0"/>
        <color indexed="9"/>
      </font>
    </dxf>
    <dxf>
      <font>
        <condense val="0"/>
        <extend val="0"/>
        <color auto="1"/>
      </font>
      <fill>
        <patternFill>
          <bgColor indexed="51"/>
        </patternFill>
      </fill>
    </dxf>
    <dxf>
      <font>
        <condense val="0"/>
        <extend val="0"/>
        <color indexed="10"/>
      </font>
      <fill>
        <patternFill>
          <bgColor indexed="51"/>
        </patternFill>
      </fill>
    </dxf>
    <dxf>
      <font>
        <condense val="0"/>
        <extend val="0"/>
        <color auto="1"/>
      </font>
      <fill>
        <patternFill>
          <bgColor indexed="43"/>
        </patternFill>
      </fill>
    </dxf>
    <dxf>
      <fill>
        <patternFill>
          <bgColor indexed="13"/>
        </patternFill>
      </fill>
    </dxf>
    <dxf>
      <fill>
        <patternFill>
          <bgColor indexed="31"/>
        </patternFill>
      </fill>
    </dxf>
    <dxf>
      <font>
        <condense val="0"/>
        <extend val="0"/>
        <color auto="1"/>
      </font>
      <fill>
        <patternFill patternType="lightUp">
          <fgColor indexed="51"/>
          <bgColor indexed="65"/>
        </patternFill>
      </fill>
    </dxf>
    <dxf>
      <font>
        <condense val="0"/>
        <extend val="0"/>
        <color indexed="10"/>
      </font>
      <fill>
        <patternFill patternType="lightUp">
          <fgColor indexed="51"/>
          <bgColor indexed="65"/>
        </patternFill>
      </fill>
    </dxf>
    <dxf>
      <font>
        <condense val="0"/>
        <extend val="0"/>
        <color auto="1"/>
      </font>
      <fill>
        <patternFill patternType="lightUp">
          <fgColor indexed="13"/>
          <bgColor indexed="65"/>
        </patternFill>
      </fill>
    </dxf>
    <dxf>
      <font>
        <condense val="0"/>
        <extend val="0"/>
        <color auto="1"/>
      </font>
      <fill>
        <patternFill>
          <bgColor indexed="22"/>
        </patternFill>
      </fill>
    </dxf>
    <dxf>
      <fill>
        <patternFill>
          <bgColor indexed="43"/>
        </patternFill>
      </fill>
    </dxf>
    <dxf>
      <font>
        <condense val="0"/>
        <extend val="0"/>
        <color indexed="10"/>
      </font>
      <fill>
        <patternFill>
          <bgColor indexed="22"/>
        </patternFill>
      </fill>
    </dxf>
    <dxf>
      <font>
        <b/>
        <i val="0"/>
        <condense val="0"/>
        <extend val="0"/>
        <color indexed="12"/>
      </font>
      <fill>
        <patternFill>
          <bgColor indexed="9"/>
        </patternFill>
      </fill>
    </dxf>
    <dxf>
      <font>
        <b/>
        <i val="0"/>
        <condense val="0"/>
        <extend val="0"/>
        <color indexed="10"/>
      </font>
      <fill>
        <patternFill patternType="solid">
          <bgColor indexed="22"/>
        </patternFill>
      </fill>
    </dxf>
    <dxf>
      <font>
        <condense val="0"/>
        <extend val="0"/>
        <color indexed="9"/>
      </font>
      <fill>
        <patternFill>
          <bgColor indexed="22"/>
        </patternFill>
      </fill>
    </dxf>
    <dxf>
      <fill>
        <patternFill>
          <bgColor indexed="43"/>
        </patternFill>
      </fill>
    </dxf>
    <dxf>
      <font>
        <b/>
        <i val="0"/>
        <condense val="0"/>
        <extend val="0"/>
      </font>
    </dxf>
    <dxf>
      <font>
        <b/>
        <i val="0"/>
        <condense val="0"/>
        <extend val="0"/>
      </font>
    </dxf>
    <dxf>
      <fill>
        <patternFill>
          <bgColor indexed="22"/>
        </patternFill>
      </fill>
    </dxf>
    <dxf>
      <font>
        <condense val="0"/>
        <extend val="0"/>
        <color indexed="9"/>
      </font>
    </dxf>
    <dxf>
      <font>
        <condense val="0"/>
        <extend val="0"/>
        <color auto="1"/>
      </font>
      <fill>
        <patternFill>
          <bgColor indexed="22"/>
        </patternFill>
      </fill>
    </dxf>
    <dxf>
      <fill>
        <patternFill>
          <bgColor indexed="43"/>
        </patternFill>
      </fill>
    </dxf>
    <dxf>
      <border>
        <left/>
        <right/>
        <bottom/>
      </border>
    </dxf>
    <dxf>
      <font>
        <condense val="0"/>
        <extend val="0"/>
        <color indexed="9"/>
      </font>
    </dxf>
    <dxf>
      <font>
        <strike val="0"/>
        <condense val="0"/>
        <extend val="0"/>
        <color indexed="9"/>
      </font>
    </dxf>
    <dxf>
      <font>
        <condense val="0"/>
        <extend val="0"/>
        <color auto="1"/>
      </font>
      <fill>
        <patternFill>
          <bgColor indexed="51"/>
        </patternFill>
      </fill>
    </dxf>
    <dxf>
      <font>
        <condense val="0"/>
        <extend val="0"/>
        <color indexed="10"/>
      </font>
      <fill>
        <patternFill>
          <bgColor indexed="51"/>
        </patternFill>
      </fill>
    </dxf>
    <dxf>
      <font>
        <condense val="0"/>
        <extend val="0"/>
        <color auto="1"/>
      </font>
      <fill>
        <patternFill>
          <bgColor indexed="43"/>
        </patternFill>
      </fill>
    </dxf>
    <dxf>
      <fill>
        <patternFill>
          <bgColor indexed="13"/>
        </patternFill>
      </fill>
    </dxf>
    <dxf>
      <fill>
        <patternFill>
          <bgColor indexed="31"/>
        </patternFill>
      </fill>
    </dxf>
    <dxf>
      <font>
        <condense val="0"/>
        <extend val="0"/>
        <color auto="1"/>
      </font>
      <fill>
        <patternFill patternType="lightUp">
          <fgColor indexed="51"/>
          <bgColor indexed="65"/>
        </patternFill>
      </fill>
    </dxf>
    <dxf>
      <font>
        <condense val="0"/>
        <extend val="0"/>
        <color indexed="10"/>
      </font>
      <fill>
        <patternFill patternType="lightUp">
          <fgColor indexed="51"/>
          <bgColor indexed="65"/>
        </patternFill>
      </fill>
    </dxf>
    <dxf>
      <font>
        <condense val="0"/>
        <extend val="0"/>
        <color auto="1"/>
      </font>
      <fill>
        <patternFill patternType="lightUp">
          <fgColor indexed="13"/>
          <bgColor indexed="65"/>
        </patternFill>
      </fill>
    </dxf>
    <dxf>
      <font>
        <condense val="0"/>
        <extend val="0"/>
        <color auto="1"/>
      </font>
      <fill>
        <patternFill>
          <bgColor indexed="22"/>
        </patternFill>
      </fill>
    </dxf>
    <dxf>
      <fill>
        <patternFill>
          <bgColor indexed="43"/>
        </patternFill>
      </fill>
    </dxf>
    <dxf>
      <font>
        <condense val="0"/>
        <extend val="0"/>
        <color indexed="10"/>
      </font>
      <fill>
        <patternFill>
          <bgColor indexed="22"/>
        </patternFill>
      </fill>
    </dxf>
    <dxf>
      <font>
        <b/>
        <i val="0"/>
        <condense val="0"/>
        <extend val="0"/>
        <color indexed="12"/>
      </font>
      <fill>
        <patternFill>
          <bgColor indexed="9"/>
        </patternFill>
      </fill>
    </dxf>
    <dxf>
      <font>
        <b/>
        <i val="0"/>
        <condense val="0"/>
        <extend val="0"/>
        <color indexed="10"/>
      </font>
      <fill>
        <patternFill patternType="solid">
          <bgColor indexed="22"/>
        </patternFill>
      </fill>
    </dxf>
    <dxf>
      <font>
        <condense val="0"/>
        <extend val="0"/>
        <color indexed="9"/>
      </font>
      <fill>
        <patternFill>
          <bgColor indexed="22"/>
        </patternFill>
      </fill>
    </dxf>
    <dxf>
      <fill>
        <patternFill>
          <bgColor indexed="43"/>
        </patternFill>
      </fill>
    </dxf>
    <dxf>
      <font>
        <b/>
        <i val="0"/>
        <condense val="0"/>
        <extend val="0"/>
      </font>
    </dxf>
    <dxf>
      <font>
        <b/>
        <i val="0"/>
        <condense val="0"/>
        <extend val="0"/>
      </font>
    </dxf>
    <dxf>
      <fill>
        <patternFill>
          <bgColor indexed="22"/>
        </patternFill>
      </fill>
    </dxf>
    <dxf>
      <font>
        <condense val="0"/>
        <extend val="0"/>
        <color indexed="9"/>
      </font>
    </dxf>
    <dxf>
      <font>
        <condense val="0"/>
        <extend val="0"/>
        <color auto="1"/>
      </font>
      <fill>
        <patternFill>
          <bgColor indexed="22"/>
        </patternFill>
      </fill>
    </dxf>
    <dxf>
      <fill>
        <patternFill>
          <bgColor indexed="43"/>
        </patternFill>
      </fill>
    </dxf>
    <dxf>
      <border>
        <left/>
        <right/>
        <bottom/>
      </border>
    </dxf>
    <dxf>
      <font>
        <condense val="0"/>
        <extend val="0"/>
        <color indexed="9"/>
      </font>
    </dxf>
    <dxf>
      <font>
        <strike val="0"/>
        <condense val="0"/>
        <extend val="0"/>
        <color indexed="9"/>
      </font>
    </dxf>
    <dxf>
      <font>
        <condense val="0"/>
        <extend val="0"/>
        <color auto="1"/>
      </font>
      <fill>
        <patternFill>
          <bgColor indexed="51"/>
        </patternFill>
      </fill>
    </dxf>
    <dxf>
      <font>
        <condense val="0"/>
        <extend val="0"/>
        <color indexed="10"/>
      </font>
      <fill>
        <patternFill>
          <bgColor indexed="51"/>
        </patternFill>
      </fill>
    </dxf>
    <dxf>
      <font>
        <condense val="0"/>
        <extend val="0"/>
        <color auto="1"/>
      </font>
      <fill>
        <patternFill>
          <bgColor indexed="43"/>
        </patternFill>
      </fill>
    </dxf>
    <dxf>
      <fill>
        <patternFill>
          <bgColor indexed="13"/>
        </patternFill>
      </fill>
    </dxf>
    <dxf>
      <fill>
        <patternFill>
          <bgColor indexed="31"/>
        </patternFill>
      </fill>
    </dxf>
    <dxf>
      <font>
        <condense val="0"/>
        <extend val="0"/>
        <color auto="1"/>
      </font>
      <fill>
        <patternFill patternType="lightUp">
          <fgColor indexed="51"/>
          <bgColor indexed="65"/>
        </patternFill>
      </fill>
    </dxf>
    <dxf>
      <font>
        <condense val="0"/>
        <extend val="0"/>
        <color indexed="10"/>
      </font>
      <fill>
        <patternFill patternType="lightUp">
          <fgColor indexed="51"/>
          <bgColor indexed="65"/>
        </patternFill>
      </fill>
    </dxf>
    <dxf>
      <font>
        <condense val="0"/>
        <extend val="0"/>
        <color auto="1"/>
      </font>
      <fill>
        <patternFill patternType="lightUp">
          <fgColor indexed="13"/>
          <bgColor indexed="65"/>
        </patternFill>
      </fill>
    </dxf>
    <dxf>
      <font>
        <condense val="0"/>
        <extend val="0"/>
        <color auto="1"/>
      </font>
      <fill>
        <patternFill>
          <bgColor indexed="22"/>
        </patternFill>
      </fill>
    </dxf>
    <dxf>
      <fill>
        <patternFill>
          <bgColor indexed="43"/>
        </patternFill>
      </fill>
    </dxf>
    <dxf>
      <font>
        <condense val="0"/>
        <extend val="0"/>
        <color indexed="10"/>
      </font>
      <fill>
        <patternFill>
          <bgColor indexed="22"/>
        </patternFill>
      </fill>
    </dxf>
    <dxf>
      <font>
        <b/>
        <i val="0"/>
        <condense val="0"/>
        <extend val="0"/>
        <color indexed="12"/>
      </font>
      <fill>
        <patternFill>
          <bgColor indexed="9"/>
        </patternFill>
      </fill>
    </dxf>
    <dxf>
      <font>
        <b/>
        <i val="0"/>
        <condense val="0"/>
        <extend val="0"/>
        <color indexed="10"/>
      </font>
      <fill>
        <patternFill patternType="solid">
          <bgColor indexed="22"/>
        </patternFill>
      </fill>
    </dxf>
    <dxf>
      <font>
        <condense val="0"/>
        <extend val="0"/>
        <color indexed="9"/>
      </font>
      <fill>
        <patternFill>
          <bgColor indexed="22"/>
        </patternFill>
      </fill>
    </dxf>
    <dxf>
      <fill>
        <patternFill>
          <bgColor indexed="43"/>
        </patternFill>
      </fill>
    </dxf>
    <dxf>
      <font>
        <b/>
        <i val="0"/>
        <condense val="0"/>
        <extend val="0"/>
      </font>
    </dxf>
    <dxf>
      <font>
        <b/>
        <i val="0"/>
        <condense val="0"/>
        <extend val="0"/>
      </font>
    </dxf>
    <dxf>
      <fill>
        <patternFill>
          <bgColor indexed="22"/>
        </patternFill>
      </fill>
    </dxf>
    <dxf>
      <font>
        <condense val="0"/>
        <extend val="0"/>
        <color indexed="9"/>
      </font>
    </dxf>
    <dxf>
      <font>
        <condense val="0"/>
        <extend val="0"/>
        <color auto="1"/>
      </font>
      <fill>
        <patternFill>
          <bgColor indexed="22"/>
        </patternFill>
      </fill>
    </dxf>
    <dxf>
      <fill>
        <patternFill>
          <bgColor indexed="43"/>
        </patternFill>
      </fill>
    </dxf>
    <dxf>
      <border>
        <left/>
        <right/>
        <bottom/>
      </border>
    </dxf>
    <dxf>
      <font>
        <condense val="0"/>
        <extend val="0"/>
        <color indexed="9"/>
      </font>
    </dxf>
    <dxf>
      <font>
        <strike val="0"/>
        <condense val="0"/>
        <extend val="0"/>
        <color indexed="9"/>
      </font>
    </dxf>
    <dxf>
      <font>
        <condense val="0"/>
        <extend val="0"/>
        <color auto="1"/>
      </font>
      <fill>
        <patternFill>
          <bgColor indexed="51"/>
        </patternFill>
      </fill>
    </dxf>
    <dxf>
      <font>
        <condense val="0"/>
        <extend val="0"/>
        <color indexed="10"/>
      </font>
      <fill>
        <patternFill>
          <bgColor indexed="51"/>
        </patternFill>
      </fill>
    </dxf>
    <dxf>
      <font>
        <condense val="0"/>
        <extend val="0"/>
        <color auto="1"/>
      </font>
      <fill>
        <patternFill>
          <bgColor indexed="43"/>
        </patternFill>
      </fill>
    </dxf>
    <dxf>
      <fill>
        <patternFill>
          <bgColor indexed="13"/>
        </patternFill>
      </fill>
    </dxf>
    <dxf>
      <fill>
        <patternFill>
          <bgColor indexed="31"/>
        </patternFill>
      </fill>
    </dxf>
    <dxf>
      <font>
        <condense val="0"/>
        <extend val="0"/>
        <color auto="1"/>
      </font>
      <fill>
        <patternFill patternType="lightUp">
          <fgColor indexed="51"/>
          <bgColor indexed="65"/>
        </patternFill>
      </fill>
    </dxf>
    <dxf>
      <font>
        <condense val="0"/>
        <extend val="0"/>
        <color indexed="10"/>
      </font>
      <fill>
        <patternFill patternType="lightUp">
          <fgColor indexed="51"/>
          <bgColor indexed="65"/>
        </patternFill>
      </fill>
    </dxf>
    <dxf>
      <font>
        <condense val="0"/>
        <extend val="0"/>
        <color auto="1"/>
      </font>
      <fill>
        <patternFill patternType="lightUp">
          <fgColor indexed="13"/>
          <bgColor indexed="65"/>
        </patternFill>
      </fill>
    </dxf>
    <dxf>
      <font>
        <condense val="0"/>
        <extend val="0"/>
        <color auto="1"/>
      </font>
      <fill>
        <patternFill>
          <bgColor indexed="22"/>
        </patternFill>
      </fill>
    </dxf>
    <dxf>
      <fill>
        <patternFill>
          <bgColor indexed="43"/>
        </patternFill>
      </fill>
    </dxf>
    <dxf>
      <font>
        <condense val="0"/>
        <extend val="0"/>
        <color indexed="10"/>
      </font>
      <fill>
        <patternFill>
          <bgColor indexed="22"/>
        </patternFill>
      </fill>
    </dxf>
    <dxf>
      <font>
        <b/>
        <i val="0"/>
        <condense val="0"/>
        <extend val="0"/>
        <color indexed="12"/>
      </font>
      <fill>
        <patternFill>
          <bgColor indexed="9"/>
        </patternFill>
      </fill>
    </dxf>
    <dxf>
      <font>
        <b/>
        <i val="0"/>
        <condense val="0"/>
        <extend val="0"/>
        <color indexed="10"/>
      </font>
      <fill>
        <patternFill patternType="solid">
          <bgColor indexed="22"/>
        </patternFill>
      </fill>
    </dxf>
    <dxf>
      <font>
        <condense val="0"/>
        <extend val="0"/>
        <color indexed="9"/>
      </font>
      <fill>
        <patternFill>
          <bgColor indexed="22"/>
        </patternFill>
      </fill>
    </dxf>
    <dxf>
      <fill>
        <patternFill>
          <bgColor indexed="43"/>
        </patternFill>
      </fill>
    </dxf>
    <dxf>
      <font>
        <b/>
        <i val="0"/>
        <condense val="0"/>
        <extend val="0"/>
      </font>
    </dxf>
    <dxf>
      <font>
        <b/>
        <i val="0"/>
        <condense val="0"/>
        <extend val="0"/>
      </font>
    </dxf>
    <dxf>
      <fill>
        <patternFill>
          <bgColor indexed="22"/>
        </patternFill>
      </fill>
    </dxf>
    <dxf>
      <font>
        <condense val="0"/>
        <extend val="0"/>
        <color indexed="9"/>
      </font>
    </dxf>
    <dxf>
      <font>
        <condense val="0"/>
        <extend val="0"/>
        <color auto="1"/>
      </font>
      <fill>
        <patternFill>
          <bgColor indexed="22"/>
        </patternFill>
      </fill>
    </dxf>
    <dxf>
      <fill>
        <patternFill>
          <bgColor indexed="43"/>
        </patternFill>
      </fill>
    </dxf>
    <dxf>
      <border>
        <left/>
        <right/>
        <bottom/>
      </border>
    </dxf>
    <dxf>
      <font>
        <condense val="0"/>
        <extend val="0"/>
        <color indexed="9"/>
      </font>
    </dxf>
    <dxf>
      <font>
        <strike val="0"/>
        <condense val="0"/>
        <extend val="0"/>
        <color indexed="9"/>
      </font>
    </dxf>
    <dxf>
      <font>
        <condense val="0"/>
        <extend val="0"/>
        <color auto="1"/>
      </font>
      <fill>
        <patternFill>
          <bgColor indexed="51"/>
        </patternFill>
      </fill>
    </dxf>
    <dxf>
      <font>
        <condense val="0"/>
        <extend val="0"/>
        <color indexed="10"/>
      </font>
      <fill>
        <patternFill>
          <bgColor indexed="51"/>
        </patternFill>
      </fill>
    </dxf>
    <dxf>
      <font>
        <condense val="0"/>
        <extend val="0"/>
        <color auto="1"/>
      </font>
      <fill>
        <patternFill>
          <bgColor indexed="43"/>
        </patternFill>
      </fill>
    </dxf>
    <dxf>
      <fill>
        <patternFill>
          <bgColor indexed="13"/>
        </patternFill>
      </fill>
    </dxf>
    <dxf>
      <fill>
        <patternFill>
          <bgColor indexed="31"/>
        </patternFill>
      </fill>
    </dxf>
    <dxf>
      <font>
        <condense val="0"/>
        <extend val="0"/>
        <color auto="1"/>
      </font>
      <fill>
        <patternFill patternType="lightUp">
          <fgColor indexed="51"/>
          <bgColor indexed="65"/>
        </patternFill>
      </fill>
    </dxf>
    <dxf>
      <font>
        <condense val="0"/>
        <extend val="0"/>
        <color indexed="10"/>
      </font>
      <fill>
        <patternFill patternType="lightUp">
          <fgColor indexed="51"/>
          <bgColor indexed="65"/>
        </patternFill>
      </fill>
    </dxf>
    <dxf>
      <font>
        <condense val="0"/>
        <extend val="0"/>
        <color auto="1"/>
      </font>
      <fill>
        <patternFill patternType="lightUp">
          <fgColor indexed="13"/>
          <bgColor indexed="65"/>
        </patternFill>
      </fill>
    </dxf>
    <dxf>
      <font>
        <condense val="0"/>
        <extend val="0"/>
        <color indexed="10"/>
      </font>
      <fill>
        <patternFill>
          <bgColor indexed="22"/>
        </patternFill>
      </fill>
    </dxf>
    <dxf>
      <font>
        <b/>
        <i val="0"/>
        <condense val="0"/>
        <extend val="0"/>
        <color indexed="12"/>
      </font>
      <fill>
        <patternFill>
          <bgColor indexed="9"/>
        </patternFill>
      </fill>
    </dxf>
    <dxf>
      <font>
        <b/>
        <i val="0"/>
        <condense val="0"/>
        <extend val="0"/>
        <color indexed="10"/>
      </font>
      <fill>
        <patternFill patternType="solid">
          <bgColor indexed="22"/>
        </patternFill>
      </fill>
    </dxf>
    <dxf>
      <font>
        <condense val="0"/>
        <extend val="0"/>
        <color auto="1"/>
      </font>
      <fill>
        <patternFill>
          <bgColor indexed="22"/>
        </patternFill>
      </fill>
    </dxf>
    <dxf>
      <fill>
        <patternFill>
          <bgColor indexed="43"/>
        </patternFill>
      </fill>
    </dxf>
    <dxf>
      <font>
        <condense val="0"/>
        <extend val="0"/>
        <color indexed="9"/>
      </font>
      <fill>
        <patternFill>
          <bgColor indexed="22"/>
        </patternFill>
      </fill>
    </dxf>
    <dxf>
      <fill>
        <patternFill>
          <bgColor indexed="43"/>
        </patternFill>
      </fill>
    </dxf>
    <dxf>
      <font>
        <b/>
        <i val="0"/>
        <condense val="0"/>
        <extend val="0"/>
      </font>
    </dxf>
    <dxf>
      <font>
        <b/>
        <i val="0"/>
        <condense val="0"/>
        <extend val="0"/>
      </font>
    </dxf>
    <dxf>
      <fill>
        <patternFill>
          <bgColor indexed="22"/>
        </patternFill>
      </fill>
    </dxf>
    <dxf>
      <font>
        <condense val="0"/>
        <extend val="0"/>
        <color indexed="9"/>
      </font>
    </dxf>
    <dxf>
      <font>
        <condense val="0"/>
        <extend val="0"/>
        <color auto="1"/>
      </font>
      <fill>
        <patternFill>
          <bgColor indexed="22"/>
        </patternFill>
      </fill>
    </dxf>
    <dxf>
      <fill>
        <patternFill>
          <bgColor indexed="43"/>
        </patternFill>
      </fill>
    </dxf>
    <dxf>
      <border>
        <left/>
        <right/>
        <bottom/>
      </border>
    </dxf>
    <dxf>
      <font>
        <condense val="0"/>
        <extend val="0"/>
        <color indexed="9"/>
      </font>
    </dxf>
    <dxf>
      <font>
        <strike val="0"/>
        <condense val="0"/>
        <extend val="0"/>
        <color indexed="9"/>
      </font>
    </dxf>
    <dxf>
      <font>
        <condense val="0"/>
        <extend val="0"/>
        <color auto="1"/>
      </font>
      <fill>
        <patternFill>
          <bgColor indexed="51"/>
        </patternFill>
      </fill>
    </dxf>
    <dxf>
      <font>
        <condense val="0"/>
        <extend val="0"/>
        <color indexed="10"/>
      </font>
      <fill>
        <patternFill>
          <bgColor indexed="51"/>
        </patternFill>
      </fill>
    </dxf>
    <dxf>
      <font>
        <condense val="0"/>
        <extend val="0"/>
        <color auto="1"/>
      </font>
      <fill>
        <patternFill>
          <bgColor indexed="43"/>
        </patternFill>
      </fill>
    </dxf>
    <dxf>
      <fill>
        <patternFill>
          <bgColor indexed="13"/>
        </patternFill>
      </fill>
    </dxf>
    <dxf>
      <fill>
        <patternFill>
          <bgColor indexed="31"/>
        </patternFill>
      </fill>
    </dxf>
    <dxf>
      <fill>
        <patternFill>
          <bgColor indexed="43"/>
        </patternFill>
      </fill>
    </dxf>
    <dxf>
      <font>
        <condense val="0"/>
        <extend val="0"/>
        <color indexed="48"/>
      </font>
      <fill>
        <patternFill>
          <bgColor indexed="22"/>
        </patternFill>
      </fill>
    </dxf>
    <dxf>
      <font>
        <condense val="0"/>
        <extend val="0"/>
        <color auto="1"/>
      </font>
      <fill>
        <patternFill patternType="lightUp">
          <fgColor indexed="51"/>
          <bgColor indexed="65"/>
        </patternFill>
      </fill>
    </dxf>
    <dxf>
      <font>
        <condense val="0"/>
        <extend val="0"/>
        <color indexed="10"/>
      </font>
      <fill>
        <patternFill patternType="lightUp">
          <fgColor indexed="51"/>
          <bgColor indexed="65"/>
        </patternFill>
      </fill>
    </dxf>
    <dxf>
      <font>
        <condense val="0"/>
        <extend val="0"/>
        <color auto="1"/>
      </font>
      <fill>
        <patternFill patternType="lightUp">
          <fgColor indexed="13"/>
          <bgColor indexed="65"/>
        </patternFill>
      </fill>
    </dxf>
    <dxf>
      <font>
        <b/>
        <i val="0"/>
        <condense val="0"/>
        <extend val="0"/>
        <color auto="1"/>
      </font>
      <fill>
        <patternFill patternType="none">
          <bgColor indexed="65"/>
        </patternFill>
      </fill>
    </dxf>
    <dxf>
      <font>
        <b/>
        <i val="0"/>
        <condense val="0"/>
        <extend val="0"/>
        <color auto="1"/>
      </font>
      <fill>
        <patternFill patternType="none">
          <bgColor indexed="65"/>
        </patternFill>
      </fill>
    </dxf>
    <dxf>
      <font>
        <condense val="0"/>
        <extend val="0"/>
        <color auto="1"/>
      </font>
      <fill>
        <patternFill>
          <bgColor indexed="22"/>
        </patternFill>
      </fill>
    </dxf>
    <dxf>
      <fill>
        <patternFill>
          <bgColor indexed="43"/>
        </patternFill>
      </fill>
    </dxf>
    <dxf>
      <font>
        <condense val="0"/>
        <extend val="0"/>
        <color indexed="9"/>
      </font>
      <fill>
        <patternFill>
          <bgColor indexed="22"/>
        </patternFill>
      </fill>
    </dxf>
    <dxf>
      <fill>
        <patternFill>
          <bgColor indexed="43"/>
        </patternFill>
      </fill>
    </dxf>
    <dxf>
      <font>
        <condense val="0"/>
        <extend val="0"/>
        <color indexed="10"/>
      </font>
      <fill>
        <patternFill>
          <bgColor indexed="22"/>
        </patternFill>
      </fill>
    </dxf>
    <dxf>
      <font>
        <b/>
        <i val="0"/>
        <condense val="0"/>
        <extend val="0"/>
        <color indexed="12"/>
      </font>
      <fill>
        <patternFill>
          <bgColor indexed="9"/>
        </patternFill>
      </fill>
    </dxf>
    <dxf>
      <font>
        <b/>
        <i val="0"/>
        <condense val="0"/>
        <extend val="0"/>
        <color indexed="10"/>
      </font>
      <fill>
        <patternFill patternType="solid">
          <bgColor indexed="22"/>
        </patternFill>
      </fill>
    </dxf>
    <dxf>
      <font>
        <condense val="0"/>
        <extend val="0"/>
        <color indexed="10"/>
      </font>
      <fill>
        <patternFill>
          <bgColor indexed="22"/>
        </patternFill>
      </fill>
    </dxf>
    <dxf>
      <font>
        <b/>
        <i val="0"/>
        <condense val="0"/>
        <extend val="0"/>
        <color indexed="12"/>
      </font>
      <fill>
        <patternFill>
          <bgColor indexed="9"/>
        </patternFill>
      </fill>
    </dxf>
    <dxf>
      <font>
        <b/>
        <i val="0"/>
        <condense val="0"/>
        <extend val="0"/>
        <color indexed="10"/>
      </font>
      <fill>
        <patternFill patternType="solid">
          <bgColor indexed="22"/>
        </patternFill>
      </fill>
    </dxf>
    <dxf>
      <font>
        <condense val="0"/>
        <extend val="0"/>
        <color indexed="9"/>
      </font>
      <fill>
        <patternFill>
          <bgColor indexed="22"/>
        </patternFill>
      </fill>
    </dxf>
    <dxf>
      <fill>
        <patternFill>
          <bgColor indexed="43"/>
        </patternFill>
      </fill>
    </dxf>
    <dxf>
      <font>
        <condense val="0"/>
        <extend val="0"/>
        <color auto="1"/>
      </font>
      <fill>
        <patternFill>
          <bgColor indexed="22"/>
        </patternFill>
      </fill>
    </dxf>
    <dxf>
      <fill>
        <patternFill>
          <bgColor indexed="43"/>
        </patternFill>
      </fill>
    </dxf>
    <dxf>
      <fill>
        <patternFill>
          <bgColor indexed="22"/>
        </patternFill>
      </fill>
    </dxf>
    <dxf>
      <font>
        <condense val="0"/>
        <extend val="0"/>
        <color indexed="9"/>
      </font>
    </dxf>
    <dxf>
      <border>
        <left/>
        <right/>
        <bottom/>
      </border>
    </dxf>
    <dxf>
      <font>
        <condense val="0"/>
        <extend val="0"/>
        <color indexed="9"/>
      </font>
    </dxf>
    <dxf>
      <font>
        <strike val="0"/>
        <condense val="0"/>
        <extend val="0"/>
        <color indexed="9"/>
      </font>
    </dxf>
    <dxf>
      <font>
        <b/>
        <i val="0"/>
        <condense val="0"/>
        <extend val="0"/>
        <color indexed="10"/>
      </font>
      <fill>
        <patternFill patternType="solid">
          <bgColor indexed="22"/>
        </patternFill>
      </fill>
    </dxf>
    <dxf>
      <font>
        <condense val="0"/>
        <extend val="0"/>
        <color auto="1"/>
      </font>
      <fill>
        <patternFill>
          <bgColor indexed="51"/>
        </patternFill>
      </fill>
    </dxf>
    <dxf>
      <font>
        <condense val="0"/>
        <extend val="0"/>
        <color indexed="10"/>
      </font>
      <fill>
        <patternFill>
          <bgColor indexed="51"/>
        </patternFill>
      </fill>
    </dxf>
    <dxf>
      <font>
        <condense val="0"/>
        <extend val="0"/>
        <color auto="1"/>
      </font>
      <fill>
        <patternFill>
          <bgColor indexed="43"/>
        </patternFill>
      </fill>
    </dxf>
    <dxf>
      <fill>
        <patternFill>
          <bgColor indexed="13"/>
        </patternFill>
      </fill>
    </dxf>
    <dxf>
      <fill>
        <patternFill>
          <bgColor indexed="31"/>
        </patternFill>
      </fill>
    </dxf>
    <dxf>
      <font>
        <condense val="0"/>
        <extend val="0"/>
        <color auto="1"/>
      </font>
      <fill>
        <patternFill patternType="lightUp">
          <fgColor indexed="51"/>
          <bgColor indexed="65"/>
        </patternFill>
      </fill>
    </dxf>
    <dxf>
      <font>
        <condense val="0"/>
        <extend val="0"/>
        <color indexed="10"/>
      </font>
      <fill>
        <patternFill patternType="lightUp">
          <fgColor indexed="51"/>
          <bgColor indexed="65"/>
        </patternFill>
      </fill>
    </dxf>
    <dxf>
      <font>
        <condense val="0"/>
        <extend val="0"/>
        <color auto="1"/>
      </font>
      <fill>
        <patternFill patternType="lightUp">
          <fgColor indexed="13"/>
          <bgColor indexed="65"/>
        </patternFill>
      </fill>
    </dxf>
    <dxf>
      <font>
        <condense val="0"/>
        <extend val="0"/>
        <color indexed="48"/>
      </font>
      <fill>
        <patternFill>
          <bgColor indexed="22"/>
        </patternFill>
      </fill>
    </dxf>
    <dxf>
      <font>
        <b/>
        <i val="0"/>
        <condense val="0"/>
        <extend val="0"/>
        <color auto="1"/>
      </font>
      <fill>
        <patternFill patternType="none">
          <bgColor indexed="65"/>
        </patternFill>
      </fill>
    </dxf>
    <dxf>
      <font>
        <b/>
        <i val="0"/>
        <condense val="0"/>
        <extend val="0"/>
        <color auto="1"/>
      </font>
      <fill>
        <patternFill patternType="none">
          <bgColor indexed="65"/>
        </patternFill>
      </fill>
    </dxf>
    <dxf>
      <font>
        <condense val="0"/>
        <extend val="0"/>
        <color auto="1"/>
      </font>
      <fill>
        <patternFill>
          <bgColor indexed="22"/>
        </patternFill>
      </fill>
    </dxf>
    <dxf>
      <fill>
        <patternFill>
          <bgColor indexed="43"/>
        </patternFill>
      </fill>
    </dxf>
    <dxf>
      <font>
        <condense val="0"/>
        <extend val="0"/>
        <color indexed="10"/>
      </font>
      <fill>
        <patternFill>
          <bgColor indexed="22"/>
        </patternFill>
      </fill>
    </dxf>
    <dxf>
      <font>
        <b/>
        <i val="0"/>
        <condense val="0"/>
        <extend val="0"/>
        <color indexed="12"/>
      </font>
      <fill>
        <patternFill>
          <bgColor indexed="9"/>
        </patternFill>
      </fill>
    </dxf>
    <dxf>
      <font>
        <b/>
        <i val="0"/>
        <condense val="0"/>
        <extend val="0"/>
        <color indexed="10"/>
      </font>
      <fill>
        <patternFill patternType="solid">
          <bgColor indexed="22"/>
        </patternFill>
      </fill>
    </dxf>
    <dxf>
      <font>
        <condense val="0"/>
        <extend val="0"/>
        <color indexed="9"/>
      </font>
      <fill>
        <patternFill>
          <bgColor indexed="22"/>
        </patternFill>
      </fill>
    </dxf>
    <dxf>
      <fill>
        <patternFill>
          <bgColor indexed="43"/>
        </patternFill>
      </fill>
    </dxf>
    <dxf>
      <border>
        <left/>
        <right/>
        <bottom/>
      </border>
    </dxf>
    <dxf>
      <font>
        <condense val="0"/>
        <extend val="0"/>
        <color indexed="9"/>
      </font>
    </dxf>
    <dxf>
      <font>
        <condense val="0"/>
        <extend val="0"/>
        <color indexed="9"/>
      </font>
    </dxf>
    <dxf>
      <font>
        <strike val="0"/>
        <condense val="0"/>
        <extend val="0"/>
        <color indexed="9"/>
      </font>
    </dxf>
    <dxf>
      <font>
        <condense val="0"/>
        <extend val="0"/>
        <color auto="1"/>
      </font>
      <fill>
        <patternFill>
          <bgColor indexed="51"/>
        </patternFill>
      </fill>
    </dxf>
    <dxf>
      <font>
        <condense val="0"/>
        <extend val="0"/>
        <color indexed="10"/>
      </font>
      <fill>
        <patternFill>
          <bgColor indexed="51"/>
        </patternFill>
      </fill>
    </dxf>
    <dxf>
      <font>
        <condense val="0"/>
        <extend val="0"/>
        <color auto="1"/>
      </font>
      <fill>
        <patternFill>
          <bgColor indexed="43"/>
        </patternFill>
      </fill>
    </dxf>
    <dxf>
      <fill>
        <patternFill>
          <bgColor indexed="13"/>
        </patternFill>
      </fill>
    </dxf>
    <dxf>
      <fill>
        <patternFill>
          <bgColor indexed="31"/>
        </patternFill>
      </fill>
    </dxf>
    <dxf>
      <font>
        <condense val="0"/>
        <extend val="0"/>
        <color auto="1"/>
      </font>
      <fill>
        <patternFill patternType="lightUp">
          <fgColor indexed="51"/>
          <bgColor indexed="65"/>
        </patternFill>
      </fill>
    </dxf>
    <dxf>
      <font>
        <condense val="0"/>
        <extend val="0"/>
        <color indexed="10"/>
      </font>
      <fill>
        <patternFill patternType="lightUp">
          <fgColor indexed="51"/>
          <bgColor indexed="65"/>
        </patternFill>
      </fill>
    </dxf>
    <dxf>
      <font>
        <condense val="0"/>
        <extend val="0"/>
        <color auto="1"/>
      </font>
      <fill>
        <patternFill patternType="lightUp">
          <fgColor indexed="13"/>
          <bgColor indexed="65"/>
        </patternFill>
      </fill>
    </dxf>
    <dxf>
      <font>
        <condense val="0"/>
        <extend val="0"/>
        <color indexed="48"/>
      </font>
      <fill>
        <patternFill>
          <bgColor indexed="22"/>
        </patternFill>
      </fill>
    </dxf>
    <dxf>
      <font>
        <b/>
        <i val="0"/>
        <condense val="0"/>
        <extend val="0"/>
        <color auto="1"/>
      </font>
      <fill>
        <patternFill patternType="none">
          <bgColor indexed="65"/>
        </patternFill>
      </fill>
    </dxf>
    <dxf>
      <font>
        <b/>
        <i val="0"/>
        <condense val="0"/>
        <extend val="0"/>
        <color auto="1"/>
      </font>
      <fill>
        <patternFill patternType="none">
          <bgColor indexed="65"/>
        </patternFill>
      </fill>
    </dxf>
    <dxf>
      <font>
        <condense val="0"/>
        <extend val="0"/>
        <color indexed="10"/>
      </font>
      <fill>
        <patternFill>
          <bgColor indexed="22"/>
        </patternFill>
      </fill>
    </dxf>
    <dxf>
      <font>
        <b/>
        <i val="0"/>
        <condense val="0"/>
        <extend val="0"/>
        <color indexed="12"/>
      </font>
      <fill>
        <patternFill>
          <bgColor indexed="9"/>
        </patternFill>
      </fill>
    </dxf>
    <dxf>
      <font>
        <b/>
        <i val="0"/>
        <condense val="0"/>
        <extend val="0"/>
        <color indexed="10"/>
      </font>
      <fill>
        <patternFill patternType="solid">
          <bgColor indexed="22"/>
        </patternFill>
      </fill>
    </dxf>
    <dxf>
      <font>
        <condense val="0"/>
        <extend val="0"/>
        <color auto="1"/>
      </font>
      <fill>
        <patternFill>
          <bgColor indexed="22"/>
        </patternFill>
      </fill>
    </dxf>
    <dxf>
      <fill>
        <patternFill>
          <bgColor indexed="43"/>
        </patternFill>
      </fill>
    </dxf>
    <dxf>
      <font>
        <condense val="0"/>
        <extend val="0"/>
        <color indexed="9"/>
      </font>
      <fill>
        <patternFill>
          <bgColor indexed="22"/>
        </patternFill>
      </fill>
    </dxf>
    <dxf>
      <fill>
        <patternFill>
          <bgColor indexed="43"/>
        </patternFill>
      </fill>
    </dxf>
    <dxf>
      <border>
        <left/>
        <right/>
        <bottom/>
      </border>
    </dxf>
    <dxf>
      <font>
        <condense val="0"/>
        <extend val="0"/>
        <color indexed="9"/>
      </font>
    </dxf>
    <dxf>
      <font>
        <condense val="0"/>
        <extend val="0"/>
        <color indexed="9"/>
      </font>
    </dxf>
    <dxf>
      <font>
        <strike val="0"/>
        <condense val="0"/>
        <extend val="0"/>
        <color indexed="9"/>
      </font>
    </dxf>
    <dxf>
      <font>
        <condense val="0"/>
        <extend val="0"/>
        <color indexed="10"/>
      </font>
      <fill>
        <patternFill>
          <bgColor indexed="22"/>
        </patternFill>
      </fill>
    </dxf>
    <dxf>
      <font>
        <b/>
        <i val="0"/>
        <condense val="0"/>
        <extend val="0"/>
        <color indexed="12"/>
      </font>
      <fill>
        <patternFill patternType="none">
          <bgColor indexed="65"/>
        </patternFill>
      </fill>
    </dxf>
    <dxf>
      <font>
        <b/>
        <i val="0"/>
        <condense val="0"/>
        <extend val="0"/>
        <color indexed="10"/>
      </font>
      <fill>
        <patternFill>
          <bgColor indexed="22"/>
        </patternFill>
      </fill>
    </dxf>
    <dxf>
      <font>
        <condense val="0"/>
        <extend val="0"/>
        <color indexed="10"/>
      </font>
      <fill>
        <patternFill>
          <bgColor indexed="22"/>
        </patternFill>
      </fill>
    </dxf>
    <dxf>
      <font>
        <b/>
        <i val="0"/>
        <condense val="0"/>
        <extend val="0"/>
        <color indexed="12"/>
      </font>
      <fill>
        <patternFill>
          <bgColor indexed="9"/>
        </patternFill>
      </fill>
    </dxf>
    <dxf>
      <font>
        <b/>
        <i val="0"/>
        <condense val="0"/>
        <extend val="0"/>
        <color indexed="10"/>
      </font>
      <fill>
        <patternFill patternType="solid">
          <bgColor indexed="22"/>
        </patternFill>
      </fill>
    </dxf>
    <dxf>
      <font>
        <condense val="0"/>
        <extend val="0"/>
        <color auto="1"/>
      </font>
      <fill>
        <patternFill>
          <bgColor indexed="51"/>
        </patternFill>
      </fill>
    </dxf>
    <dxf>
      <font>
        <condense val="0"/>
        <extend val="0"/>
        <color indexed="10"/>
      </font>
      <fill>
        <patternFill>
          <bgColor indexed="51"/>
        </patternFill>
      </fill>
    </dxf>
    <dxf>
      <font>
        <condense val="0"/>
        <extend val="0"/>
        <color auto="1"/>
      </font>
      <fill>
        <patternFill>
          <bgColor indexed="43"/>
        </patternFill>
      </fill>
    </dxf>
    <dxf>
      <fill>
        <patternFill>
          <bgColor indexed="13"/>
        </patternFill>
      </fill>
    </dxf>
    <dxf>
      <fill>
        <patternFill>
          <bgColor indexed="31"/>
        </patternFill>
      </fill>
    </dxf>
    <dxf>
      <font>
        <condense val="0"/>
        <extend val="0"/>
        <color auto="1"/>
      </font>
      <fill>
        <patternFill patternType="lightUp">
          <fgColor indexed="51"/>
          <bgColor indexed="65"/>
        </patternFill>
      </fill>
    </dxf>
    <dxf>
      <font>
        <condense val="0"/>
        <extend val="0"/>
        <color indexed="10"/>
      </font>
      <fill>
        <patternFill patternType="lightUp">
          <fgColor indexed="51"/>
          <bgColor indexed="65"/>
        </patternFill>
      </fill>
    </dxf>
    <dxf>
      <font>
        <condense val="0"/>
        <extend val="0"/>
        <color auto="1"/>
      </font>
      <fill>
        <patternFill patternType="lightUp">
          <fgColor indexed="13"/>
          <bgColor indexed="65"/>
        </patternFill>
      </fill>
    </dxf>
    <dxf>
      <font>
        <condense val="0"/>
        <extend val="0"/>
        <color indexed="48"/>
      </font>
      <fill>
        <patternFill>
          <bgColor indexed="22"/>
        </patternFill>
      </fill>
    </dxf>
    <dxf>
      <fill>
        <patternFill>
          <bgColor indexed="22"/>
        </patternFill>
      </fill>
    </dxf>
    <dxf>
      <font>
        <b/>
        <i val="0"/>
        <condense val="0"/>
        <extend val="0"/>
        <color auto="1"/>
      </font>
      <fill>
        <patternFill patternType="none">
          <bgColor indexed="65"/>
        </patternFill>
      </fill>
    </dxf>
    <dxf>
      <font>
        <b/>
        <i val="0"/>
        <condense val="0"/>
        <extend val="0"/>
        <color auto="1"/>
      </font>
      <fill>
        <patternFill patternType="none">
          <bgColor indexed="65"/>
        </patternFill>
      </fill>
    </dxf>
    <dxf>
      <font>
        <condense val="0"/>
        <extend val="0"/>
        <color auto="1"/>
      </font>
      <fill>
        <patternFill>
          <bgColor indexed="22"/>
        </patternFill>
      </fill>
    </dxf>
    <dxf>
      <fill>
        <patternFill>
          <bgColor indexed="43"/>
        </patternFill>
      </fill>
    </dxf>
    <dxf>
      <font>
        <condense val="0"/>
        <extend val="0"/>
        <color indexed="10"/>
      </font>
      <fill>
        <patternFill>
          <bgColor indexed="22"/>
        </patternFill>
      </fill>
    </dxf>
    <dxf>
      <font>
        <b/>
        <i val="0"/>
        <condense val="0"/>
        <extend val="0"/>
        <color indexed="12"/>
      </font>
      <fill>
        <patternFill>
          <bgColor indexed="9"/>
        </patternFill>
      </fill>
    </dxf>
    <dxf>
      <font>
        <b/>
        <i val="0"/>
        <condense val="0"/>
        <extend val="0"/>
        <color indexed="10"/>
      </font>
      <fill>
        <patternFill patternType="solid">
          <bgColor indexed="22"/>
        </patternFill>
      </fill>
    </dxf>
    <dxf>
      <font>
        <condense val="0"/>
        <extend val="0"/>
        <color indexed="10"/>
      </font>
      <fill>
        <patternFill>
          <bgColor indexed="22"/>
        </patternFill>
      </fill>
    </dxf>
    <dxf>
      <font>
        <b/>
        <i val="0"/>
        <condense val="0"/>
        <extend val="0"/>
        <color indexed="12"/>
      </font>
      <fill>
        <patternFill>
          <bgColor indexed="9"/>
        </patternFill>
      </fill>
    </dxf>
    <dxf>
      <font>
        <b/>
        <i val="0"/>
        <condense val="0"/>
        <extend val="0"/>
        <color indexed="10"/>
      </font>
      <fill>
        <patternFill patternType="solid">
          <bgColor indexed="22"/>
        </patternFill>
      </fill>
    </dxf>
    <dxf>
      <font>
        <condense val="0"/>
        <extend val="0"/>
        <color indexed="9"/>
      </font>
      <fill>
        <patternFill>
          <bgColor indexed="22"/>
        </patternFill>
      </fill>
    </dxf>
    <dxf>
      <fill>
        <patternFill>
          <bgColor indexed="43"/>
        </patternFill>
      </fill>
    </dxf>
    <dxf>
      <font>
        <condense val="0"/>
        <extend val="0"/>
        <color auto="1"/>
      </font>
      <fill>
        <patternFill>
          <bgColor indexed="22"/>
        </patternFill>
      </fill>
    </dxf>
    <dxf>
      <fill>
        <patternFill>
          <bgColor indexed="43"/>
        </patternFill>
      </fill>
    </dxf>
    <dxf>
      <font>
        <condense val="0"/>
        <extend val="0"/>
        <color indexed="9"/>
      </font>
      <fill>
        <patternFill>
          <bgColor indexed="22"/>
        </patternFill>
      </fill>
    </dxf>
    <dxf>
      <fill>
        <patternFill>
          <bgColor indexed="43"/>
        </patternFill>
      </fill>
    </dxf>
    <dxf>
      <border>
        <left/>
        <right/>
        <top/>
        <bottom/>
      </border>
    </dxf>
    <dxf>
      <fill>
        <patternFill>
          <bgColor indexed="43"/>
        </patternFill>
      </fill>
    </dxf>
    <dxf>
      <font>
        <condense val="0"/>
        <extend val="0"/>
        <color indexed="9"/>
      </font>
      <fill>
        <patternFill>
          <bgColor indexed="22"/>
        </patternFill>
      </fill>
    </dxf>
    <dxf>
      <border>
        <left/>
        <right/>
        <top/>
        <bottom/>
      </border>
    </dxf>
    <dxf>
      <font>
        <condense val="0"/>
        <extend val="0"/>
        <color indexed="9"/>
      </font>
    </dxf>
    <dxf>
      <font>
        <condense val="0"/>
        <extend val="0"/>
        <color indexed="9"/>
      </font>
    </dxf>
    <dxf>
      <font>
        <condense val="0"/>
        <extend val="0"/>
        <color indexed="10"/>
      </font>
      <fill>
        <patternFill>
          <bgColor indexed="22"/>
        </patternFill>
      </fill>
    </dxf>
    <dxf>
      <font>
        <b/>
        <i val="0"/>
        <condense val="0"/>
        <extend val="0"/>
        <color indexed="12"/>
      </font>
      <fill>
        <patternFill>
          <bgColor indexed="9"/>
        </patternFill>
      </fill>
    </dxf>
    <dxf>
      <font>
        <b/>
        <i val="0"/>
        <condense val="0"/>
        <extend val="0"/>
        <color indexed="9"/>
      </font>
      <fill>
        <patternFill patternType="none">
          <bgColor indexed="65"/>
        </patternFill>
      </fill>
      <border>
        <left/>
        <right/>
        <top/>
        <bottom/>
      </border>
    </dxf>
    <dxf>
      <font>
        <condense val="0"/>
        <extend val="0"/>
        <color indexed="10"/>
      </font>
      <fill>
        <patternFill>
          <bgColor indexed="22"/>
        </patternFill>
      </fill>
    </dxf>
    <dxf>
      <font>
        <b/>
        <i val="0"/>
        <condense val="0"/>
        <extend val="0"/>
        <color indexed="12"/>
      </font>
      <fill>
        <patternFill>
          <bgColor indexed="9"/>
        </patternFill>
      </fill>
    </dxf>
    <dxf>
      <font>
        <b/>
        <i val="0"/>
        <condense val="0"/>
        <extend val="0"/>
        <color indexed="10"/>
      </font>
      <fill>
        <patternFill patternType="solid">
          <bgColor indexed="22"/>
        </patternFill>
      </fill>
    </dxf>
    <dxf>
      <font>
        <condense val="0"/>
        <extend val="0"/>
        <color indexed="10"/>
      </font>
      <fill>
        <patternFill>
          <bgColor indexed="22"/>
        </patternFill>
      </fill>
    </dxf>
    <dxf>
      <font>
        <b/>
        <i val="0"/>
        <condense val="0"/>
        <extend val="0"/>
        <color indexed="12"/>
      </font>
      <fill>
        <patternFill patternType="none">
          <bgColor indexed="65"/>
        </patternFill>
      </fill>
    </dxf>
    <dxf>
      <font>
        <b/>
        <i val="0"/>
        <condense val="0"/>
        <extend val="0"/>
        <color indexed="10"/>
      </font>
      <fill>
        <patternFill>
          <bgColor indexed="22"/>
        </patternFill>
      </fill>
    </dxf>
    <dxf>
      <font>
        <condense val="0"/>
        <extend val="0"/>
        <color auto="1"/>
      </font>
      <fill>
        <patternFill>
          <bgColor indexed="51"/>
        </patternFill>
      </fill>
    </dxf>
    <dxf>
      <font>
        <condense val="0"/>
        <extend val="0"/>
        <color indexed="10"/>
      </font>
      <fill>
        <patternFill>
          <bgColor indexed="51"/>
        </patternFill>
      </fill>
    </dxf>
    <dxf>
      <font>
        <condense val="0"/>
        <extend val="0"/>
        <color auto="1"/>
      </font>
      <fill>
        <patternFill>
          <bgColor indexed="43"/>
        </patternFill>
      </fill>
    </dxf>
    <dxf>
      <fill>
        <patternFill>
          <bgColor indexed="13"/>
        </patternFill>
      </fill>
    </dxf>
    <dxf>
      <fill>
        <patternFill>
          <bgColor indexed="31"/>
        </patternFill>
      </fill>
    </dxf>
    <dxf>
      <font>
        <strike val="0"/>
        <condense val="0"/>
        <extend val="0"/>
        <color indexed="9"/>
      </font>
    </dxf>
    <dxf>
      <fill>
        <patternFill>
          <bgColor indexed="43"/>
        </patternFill>
      </fill>
    </dxf>
    <dxf>
      <fill>
        <patternFill>
          <bgColor indexed="43"/>
        </patternFill>
      </fill>
    </dxf>
    <dxf>
      <font>
        <condense val="0"/>
        <extend val="0"/>
        <color indexed="9"/>
      </font>
      <fill>
        <patternFill>
          <bgColor indexed="22"/>
        </patternFill>
      </fill>
    </dxf>
    <dxf>
      <border>
        <left/>
        <right/>
        <top/>
        <bottom/>
      </border>
    </dxf>
    <dxf>
      <font>
        <condense val="0"/>
        <extend val="0"/>
      </font>
      <fill>
        <patternFill>
          <bgColor indexed="22"/>
        </patternFill>
      </fill>
    </dxf>
    <dxf>
      <font>
        <condense val="0"/>
        <extend val="0"/>
        <color auto="1"/>
      </font>
      <fill>
        <patternFill patternType="lightUp">
          <fgColor indexed="51"/>
          <bgColor indexed="65"/>
        </patternFill>
      </fill>
    </dxf>
    <dxf>
      <font>
        <condense val="0"/>
        <extend val="0"/>
        <color indexed="10"/>
      </font>
      <fill>
        <patternFill patternType="lightUp">
          <fgColor indexed="51"/>
          <bgColor indexed="65"/>
        </patternFill>
      </fill>
    </dxf>
    <dxf>
      <font>
        <condense val="0"/>
        <extend val="0"/>
        <color auto="1"/>
      </font>
      <fill>
        <patternFill patternType="lightUp">
          <fgColor indexed="13"/>
          <bgColor indexed="65"/>
        </patternFill>
      </fill>
    </dxf>
    <dxf>
      <font>
        <b/>
        <i val="0"/>
        <condense val="0"/>
        <extend val="0"/>
      </font>
    </dxf>
    <dxf>
      <font>
        <b/>
        <i val="0"/>
        <condense val="0"/>
        <extend val="0"/>
      </font>
    </dxf>
    <dxf>
      <font>
        <condense val="0"/>
        <extend val="0"/>
        <color auto="1"/>
      </font>
      <fill>
        <patternFill>
          <bgColor indexed="22"/>
        </patternFill>
      </fill>
    </dxf>
    <dxf>
      <fill>
        <patternFill>
          <bgColor indexed="43"/>
        </patternFill>
      </fill>
    </dxf>
    <dxf>
      <fill>
        <patternFill>
          <bgColor indexed="43"/>
        </patternFill>
      </fill>
    </dxf>
    <dxf>
      <font>
        <condense val="0"/>
        <extend val="0"/>
        <color indexed="9"/>
      </font>
      <fill>
        <patternFill>
          <bgColor indexed="22"/>
        </patternFill>
      </fill>
    </dxf>
    <dxf>
      <border>
        <left/>
        <right/>
        <top/>
        <bottom/>
      </border>
    </dxf>
    <dxf>
      <font>
        <condense val="0"/>
        <extend val="0"/>
        <color indexed="9"/>
      </font>
      <fill>
        <patternFill>
          <bgColor indexed="22"/>
        </patternFill>
      </fill>
    </dxf>
    <dxf>
      <fill>
        <patternFill>
          <bgColor indexed="43"/>
        </patternFill>
      </fill>
    </dxf>
    <dxf>
      <border>
        <left/>
        <right/>
        <top/>
        <bottom/>
      </border>
    </dxf>
    <dxf>
      <font>
        <condense val="0"/>
        <extend val="0"/>
        <color indexed="10"/>
      </font>
      <fill>
        <patternFill>
          <bgColor indexed="22"/>
        </patternFill>
      </fill>
    </dxf>
    <dxf>
      <border>
        <left/>
        <right/>
        <bottom/>
      </border>
    </dxf>
    <dxf>
      <font>
        <condense val="0"/>
        <extend val="0"/>
        <color auto="1"/>
      </font>
      <fill>
        <patternFill>
          <fgColor indexed="22"/>
          <bgColor indexed="22"/>
        </patternFill>
      </fill>
    </dxf>
    <dxf>
      <fill>
        <patternFill>
          <bgColor indexed="43"/>
        </patternFill>
      </fill>
    </dxf>
    <dxf>
      <font>
        <condense val="0"/>
        <extend val="0"/>
        <color auto="1"/>
      </font>
      <fill>
        <patternFill>
          <bgColor indexed="22"/>
        </patternFill>
      </fill>
    </dxf>
    <dxf>
      <fill>
        <patternFill>
          <bgColor indexed="43"/>
        </patternFill>
      </fill>
    </dxf>
    <dxf>
      <font>
        <condense val="0"/>
        <extend val="0"/>
        <color indexed="9"/>
      </font>
    </dxf>
    <dxf>
      <font>
        <condense val="0"/>
        <extend val="0"/>
        <color indexed="9"/>
      </font>
    </dxf>
    <dxf>
      <font>
        <strike val="0"/>
        <condense val="0"/>
        <extend val="0"/>
        <color indexed="9"/>
      </font>
    </dxf>
    <dxf>
      <fill>
        <patternFill>
          <bgColor indexed="31"/>
        </patternFill>
      </fill>
    </dxf>
    <dxf>
      <font>
        <condense val="0"/>
        <extend val="0"/>
        <color indexed="10"/>
      </font>
      <fill>
        <patternFill>
          <bgColor indexed="22"/>
        </patternFill>
      </fill>
    </dxf>
    <dxf>
      <font>
        <b/>
        <i val="0"/>
        <condense val="0"/>
        <extend val="0"/>
        <color indexed="12"/>
      </font>
      <fill>
        <patternFill>
          <bgColor indexed="9"/>
        </patternFill>
      </fill>
    </dxf>
    <dxf>
      <font>
        <b/>
        <i val="0"/>
        <condense val="0"/>
        <extend val="0"/>
        <color indexed="10"/>
      </font>
      <fill>
        <patternFill patternType="solid">
          <bgColor indexed="22"/>
        </patternFill>
      </fill>
    </dxf>
    <dxf>
      <font>
        <b/>
        <i val="0"/>
        <condense val="0"/>
        <extend val="0"/>
        <color indexed="10"/>
      </font>
      <fill>
        <patternFill>
          <bgColor indexed="22"/>
        </patternFill>
      </fill>
    </dxf>
    <dxf>
      <font>
        <condense val="0"/>
        <extend val="0"/>
        <color auto="1"/>
      </font>
      <fill>
        <patternFill>
          <bgColor indexed="51"/>
        </patternFill>
      </fill>
    </dxf>
    <dxf>
      <font>
        <condense val="0"/>
        <extend val="0"/>
        <color indexed="10"/>
      </font>
      <fill>
        <patternFill>
          <bgColor indexed="51"/>
        </patternFill>
      </fill>
    </dxf>
    <dxf>
      <font>
        <condense val="0"/>
        <extend val="0"/>
        <color auto="1"/>
      </font>
      <fill>
        <patternFill>
          <bgColor indexed="43"/>
        </patternFill>
      </fill>
    </dxf>
    <dxf>
      <fill>
        <patternFill>
          <bgColor indexed="13"/>
        </patternFill>
      </fill>
    </dxf>
    <dxf>
      <font>
        <condense val="0"/>
        <extend val="0"/>
        <color auto="1"/>
      </font>
      <fill>
        <patternFill patternType="lightUp">
          <fgColor indexed="51"/>
          <bgColor indexed="65"/>
        </patternFill>
      </fill>
    </dxf>
    <dxf>
      <font>
        <condense val="0"/>
        <extend val="0"/>
        <color indexed="10"/>
      </font>
      <fill>
        <patternFill patternType="lightUp">
          <fgColor indexed="51"/>
          <bgColor indexed="65"/>
        </patternFill>
      </fill>
    </dxf>
    <dxf>
      <font>
        <condense val="0"/>
        <extend val="0"/>
        <color auto="1"/>
      </font>
      <fill>
        <patternFill patternType="lightUp">
          <fgColor indexed="13"/>
          <bgColor indexed="65"/>
        </patternFill>
      </fill>
    </dxf>
    <dxf>
      <font>
        <b/>
        <i val="0"/>
        <condense val="0"/>
        <extend val="0"/>
      </font>
    </dxf>
    <dxf>
      <font>
        <b/>
        <i val="0"/>
        <condense val="0"/>
        <extend val="0"/>
      </font>
    </dxf>
    <dxf>
      <font>
        <condense val="0"/>
        <extend val="0"/>
        <color auto="1"/>
      </font>
      <fill>
        <patternFill>
          <bgColor indexed="22"/>
        </patternFill>
      </fill>
    </dxf>
    <dxf>
      <fill>
        <patternFill>
          <bgColor indexed="43"/>
        </patternFill>
      </fill>
    </dxf>
    <dxf>
      <font>
        <condense val="0"/>
        <extend val="0"/>
        <color indexed="9"/>
      </font>
      <fill>
        <patternFill>
          <bgColor indexed="22"/>
        </patternFill>
      </fill>
    </dxf>
    <dxf>
      <fill>
        <patternFill>
          <bgColor indexed="43"/>
        </patternFill>
      </fill>
    </dxf>
    <dxf>
      <fill>
        <patternFill>
          <bgColor indexed="22"/>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55"/>
      </font>
    </dxf>
    <dxf>
      <font>
        <condense val="0"/>
        <extend val="0"/>
        <color indexed="9"/>
      </font>
    </dxf>
    <dxf>
      <font>
        <condense val="0"/>
        <extend val="0"/>
        <color indexed="9"/>
      </font>
    </dxf>
    <dxf>
      <font>
        <condense val="0"/>
        <extend val="0"/>
        <color indexed="10"/>
      </font>
    </dxf>
    <dxf>
      <fill>
        <patternFill>
          <bgColor indexed="43"/>
        </patternFill>
      </fill>
    </dxf>
    <dxf>
      <font>
        <condense val="0"/>
        <extend val="0"/>
        <color indexed="10"/>
      </font>
    </dxf>
    <dxf>
      <fill>
        <patternFill>
          <bgColor indexed="43"/>
        </patternFill>
      </fill>
    </dxf>
    <dxf>
      <fill>
        <patternFill>
          <bgColor indexed="43"/>
        </patternFill>
      </fill>
    </dxf>
    <dxf>
      <font>
        <condense val="0"/>
        <extend val="0"/>
        <color indexed="10"/>
      </font>
    </dxf>
    <dxf>
      <fill>
        <patternFill>
          <bgColor indexed="43"/>
        </patternFill>
      </fill>
    </dxf>
    <dxf>
      <font>
        <condense val="0"/>
        <extend val="0"/>
        <color indexed="10"/>
      </font>
    </dxf>
    <dxf>
      <fill>
        <patternFill>
          <bgColor indexed="43"/>
        </patternFill>
      </fill>
    </dxf>
    <dxf>
      <font>
        <condense val="0"/>
        <extend val="0"/>
        <color indexed="10"/>
      </font>
    </dxf>
    <dxf>
      <font>
        <condense val="0"/>
        <extend val="0"/>
        <color indexed="10"/>
      </font>
    </dxf>
    <dxf>
      <fill>
        <patternFill>
          <bgColor indexed="43"/>
        </patternFill>
      </fill>
    </dxf>
    <dxf>
      <font>
        <condense val="0"/>
        <extend val="0"/>
        <color indexed="10"/>
      </font>
    </dxf>
    <dxf>
      <fill>
        <patternFill>
          <bgColor indexed="43"/>
        </patternFill>
      </fill>
    </dxf>
    <dxf>
      <fill>
        <patternFill>
          <bgColor indexed="43"/>
        </patternFill>
      </fill>
    </dxf>
    <dxf>
      <font>
        <condense val="0"/>
        <extend val="0"/>
        <color indexed="10"/>
      </font>
    </dxf>
    <dxf>
      <fill>
        <patternFill>
          <bgColor indexed="43"/>
        </patternFill>
      </fill>
    </dxf>
    <dxf>
      <font>
        <condense val="0"/>
        <extend val="0"/>
        <color indexed="10"/>
      </font>
    </dxf>
    <dxf>
      <fill>
        <patternFill>
          <bgColor indexed="43"/>
        </patternFill>
      </fill>
    </dxf>
    <dxf>
      <font>
        <condense val="0"/>
        <extend val="0"/>
        <color indexed="10"/>
      </font>
    </dxf>
    <dxf>
      <fill>
        <patternFill>
          <bgColor indexed="43"/>
        </patternFill>
      </fill>
    </dxf>
    <dxf>
      <font>
        <condense val="0"/>
        <extend val="0"/>
        <color indexed="55"/>
      </font>
    </dxf>
    <dxf>
      <font>
        <condense val="0"/>
        <extend val="0"/>
        <color indexed="17"/>
      </font>
    </dxf>
    <dxf>
      <font>
        <condense val="0"/>
        <extend val="0"/>
        <color indexed="10"/>
      </font>
    </dxf>
    <dxf>
      <fill>
        <patternFill>
          <bgColor indexed="43"/>
        </patternFill>
      </fill>
    </dxf>
    <dxf>
      <font>
        <condense val="0"/>
        <extend val="0"/>
        <color indexed="9"/>
      </font>
    </dxf>
    <dxf>
      <font>
        <condense val="0"/>
        <extend val="0"/>
        <color indexed="9"/>
      </font>
    </dxf>
    <dxf>
      <fill>
        <patternFill>
          <bgColor indexed="43"/>
        </patternFill>
      </fill>
    </dxf>
    <dxf>
      <font>
        <condense val="0"/>
        <extend val="0"/>
        <color indexed="9"/>
      </font>
    </dxf>
    <dxf>
      <fill>
        <patternFill>
          <bgColor indexed="43"/>
        </patternFill>
      </fill>
    </dxf>
    <dxf>
      <font>
        <condense val="0"/>
        <extend val="0"/>
        <color indexed="10"/>
      </font>
    </dxf>
    <dxf>
      <fill>
        <patternFill>
          <bgColor indexed="43"/>
        </patternFill>
      </fill>
    </dxf>
    <dxf>
      <font>
        <condense val="0"/>
        <extend val="0"/>
        <color indexed="10"/>
      </font>
    </dxf>
    <dxf>
      <fill>
        <patternFill>
          <bgColor indexed="43"/>
        </patternFill>
      </fill>
    </dxf>
    <dxf>
      <font>
        <condense val="0"/>
        <extend val="0"/>
        <color indexed="10"/>
      </font>
    </dxf>
    <dxf>
      <fill>
        <patternFill>
          <bgColor indexed="43"/>
        </patternFill>
      </fill>
    </dxf>
    <dxf>
      <font>
        <condense val="0"/>
        <extend val="0"/>
        <color indexed="10"/>
      </font>
    </dxf>
    <dxf>
      <fill>
        <patternFill>
          <bgColor indexed="43"/>
        </patternFill>
      </fill>
    </dxf>
    <dxf>
      <font>
        <condense val="0"/>
        <extend val="0"/>
        <color indexed="10"/>
      </font>
    </dxf>
    <dxf>
      <fill>
        <patternFill>
          <bgColor indexed="43"/>
        </patternFill>
      </fill>
    </dxf>
    <dxf>
      <fill>
        <patternFill>
          <bgColor indexed="43"/>
        </patternFill>
      </fill>
    </dxf>
    <dxf>
      <font>
        <condense val="0"/>
        <extend val="0"/>
        <color indexed="10"/>
      </font>
    </dxf>
    <dxf>
      <fill>
        <patternFill>
          <bgColor indexed="43"/>
        </patternFill>
      </fill>
    </dxf>
    <dxf>
      <font>
        <condense val="0"/>
        <extend val="0"/>
        <color indexed="10"/>
      </font>
    </dxf>
    <dxf>
      <fill>
        <patternFill>
          <bgColor indexed="43"/>
        </patternFill>
      </fill>
    </dxf>
    <dxf>
      <font>
        <condense val="0"/>
        <extend val="0"/>
        <color indexed="10"/>
      </font>
    </dxf>
    <dxf>
      <fill>
        <patternFill>
          <bgColor indexed="43"/>
        </patternFill>
      </fill>
    </dxf>
    <dxf>
      <font>
        <condense val="0"/>
        <extend val="0"/>
        <color indexed="10"/>
      </font>
    </dxf>
    <dxf>
      <fill>
        <patternFill>
          <bgColor indexed="43"/>
        </patternFill>
      </fill>
    </dxf>
    <dxf>
      <font>
        <condense val="0"/>
        <extend val="0"/>
        <color indexed="10"/>
      </font>
    </dxf>
    <dxf>
      <fill>
        <patternFill>
          <bgColor indexed="43"/>
        </patternFill>
      </fill>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65.emf"/><Relationship Id="rId2" Type="http://schemas.openxmlformats.org/officeDocument/2006/relationships/image" Target="../media/image64.emf"/><Relationship Id="rId1" Type="http://schemas.openxmlformats.org/officeDocument/2006/relationships/image" Target="../media/image63.emf"/><Relationship Id="rId5" Type="http://schemas.openxmlformats.org/officeDocument/2006/relationships/image" Target="../media/image1.png"/><Relationship Id="rId4" Type="http://schemas.openxmlformats.org/officeDocument/2006/relationships/image" Target="../media/image66.emf"/></Relationships>
</file>

<file path=xl/drawings/_rels/drawing11.xml.rels><?xml version="1.0" encoding="UTF-8" standalone="yes"?>
<Relationships xmlns="http://schemas.openxmlformats.org/package/2006/relationships"><Relationship Id="rId3" Type="http://schemas.openxmlformats.org/officeDocument/2006/relationships/image" Target="../media/image66.emf"/><Relationship Id="rId2" Type="http://schemas.openxmlformats.org/officeDocument/2006/relationships/image" Target="../media/image65.emf"/><Relationship Id="rId1" Type="http://schemas.openxmlformats.org/officeDocument/2006/relationships/image" Target="../media/image71.emf"/><Relationship Id="rId5" Type="http://schemas.openxmlformats.org/officeDocument/2006/relationships/image" Target="../media/image1.png"/><Relationship Id="rId4" Type="http://schemas.openxmlformats.org/officeDocument/2006/relationships/image" Target="../media/image72.emf"/></Relationships>
</file>

<file path=xl/drawings/_rels/drawing12.xml.rels><?xml version="1.0" encoding="UTF-8" standalone="yes"?>
<Relationships xmlns="http://schemas.openxmlformats.org/package/2006/relationships"><Relationship Id="rId3" Type="http://schemas.openxmlformats.org/officeDocument/2006/relationships/image" Target="../media/image77.emf"/><Relationship Id="rId2" Type="http://schemas.openxmlformats.org/officeDocument/2006/relationships/image" Target="../media/image76.emf"/><Relationship Id="rId1" Type="http://schemas.openxmlformats.org/officeDocument/2006/relationships/image" Target="../media/image75.emf"/><Relationship Id="rId5" Type="http://schemas.openxmlformats.org/officeDocument/2006/relationships/image" Target="../media/image1.png"/><Relationship Id="rId4" Type="http://schemas.openxmlformats.org/officeDocument/2006/relationships/image" Target="../media/image78.emf"/></Relationships>
</file>

<file path=xl/drawings/_rels/drawing13.xml.rels><?xml version="1.0" encoding="UTF-8" standalone="yes"?>
<Relationships xmlns="http://schemas.openxmlformats.org/package/2006/relationships"><Relationship Id="rId3" Type="http://schemas.openxmlformats.org/officeDocument/2006/relationships/image" Target="../media/image78.emf"/><Relationship Id="rId2" Type="http://schemas.openxmlformats.org/officeDocument/2006/relationships/image" Target="../media/image72.emf"/><Relationship Id="rId1" Type="http://schemas.openxmlformats.org/officeDocument/2006/relationships/image" Target="../media/image83.emf"/><Relationship Id="rId5" Type="http://schemas.openxmlformats.org/officeDocument/2006/relationships/image" Target="../media/image1.png"/><Relationship Id="rId4" Type="http://schemas.openxmlformats.org/officeDocument/2006/relationships/image" Target="../media/image84.emf"/></Relationships>
</file>

<file path=xl/drawings/_rels/drawing14.xml.rels><?xml version="1.0" encoding="UTF-8" standalone="yes"?>
<Relationships xmlns="http://schemas.openxmlformats.org/package/2006/relationships"><Relationship Id="rId8" Type="http://schemas.openxmlformats.org/officeDocument/2006/relationships/image" Target="../media/image94.emf"/><Relationship Id="rId3" Type="http://schemas.openxmlformats.org/officeDocument/2006/relationships/image" Target="../media/image89.emf"/><Relationship Id="rId7" Type="http://schemas.openxmlformats.org/officeDocument/2006/relationships/image" Target="../media/image93.emf"/><Relationship Id="rId12" Type="http://schemas.openxmlformats.org/officeDocument/2006/relationships/image" Target="../media/image97.emf"/><Relationship Id="rId2" Type="http://schemas.openxmlformats.org/officeDocument/2006/relationships/image" Target="../media/image88.emf"/><Relationship Id="rId1" Type="http://schemas.openxmlformats.org/officeDocument/2006/relationships/image" Target="../media/image87.emf"/><Relationship Id="rId6" Type="http://schemas.openxmlformats.org/officeDocument/2006/relationships/image" Target="../media/image92.emf"/><Relationship Id="rId11" Type="http://schemas.openxmlformats.org/officeDocument/2006/relationships/image" Target="../media/image96.emf"/><Relationship Id="rId5" Type="http://schemas.openxmlformats.org/officeDocument/2006/relationships/image" Target="../media/image91.emf"/><Relationship Id="rId10" Type="http://schemas.openxmlformats.org/officeDocument/2006/relationships/image" Target="../media/image47.emf"/><Relationship Id="rId4" Type="http://schemas.openxmlformats.org/officeDocument/2006/relationships/image" Target="../media/image90.emf"/><Relationship Id="rId9" Type="http://schemas.openxmlformats.org/officeDocument/2006/relationships/image" Target="../media/image95.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jpg"/><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3.emf"/><Relationship Id="rId1" Type="http://schemas.openxmlformats.org/officeDocument/2006/relationships/image" Target="../media/image12.emf"/><Relationship Id="rId5" Type="http://schemas.openxmlformats.org/officeDocument/2006/relationships/image" Target="../media/image1.png"/><Relationship Id="rId4" Type="http://schemas.openxmlformats.org/officeDocument/2006/relationships/image" Target="../media/image15.png"/></Relationships>
</file>

<file path=xl/drawings/_rels/drawing4.xml.rels><?xml version="1.0" encoding="UTF-8" standalone="yes"?>
<Relationships xmlns="http://schemas.openxmlformats.org/package/2006/relationships"><Relationship Id="rId3" Type="http://schemas.openxmlformats.org/officeDocument/2006/relationships/image" Target="../media/image21.emf"/><Relationship Id="rId2" Type="http://schemas.openxmlformats.org/officeDocument/2006/relationships/image" Target="../media/image20.emf"/><Relationship Id="rId1" Type="http://schemas.openxmlformats.org/officeDocument/2006/relationships/image" Target="../media/image19.emf"/><Relationship Id="rId5" Type="http://schemas.openxmlformats.org/officeDocument/2006/relationships/image" Target="../media/image7.jpg"/><Relationship Id="rId4" Type="http://schemas.openxmlformats.org/officeDocument/2006/relationships/image" Target="../media/image22.emf"/></Relationships>
</file>

<file path=xl/drawings/_rels/drawing5.xml.rels><?xml version="1.0" encoding="UTF-8" standalone="yes"?>
<Relationships xmlns="http://schemas.openxmlformats.org/package/2006/relationships"><Relationship Id="rId3" Type="http://schemas.openxmlformats.org/officeDocument/2006/relationships/image" Target="../media/image29.emf"/><Relationship Id="rId2" Type="http://schemas.openxmlformats.org/officeDocument/2006/relationships/image" Target="../media/image28.emf"/><Relationship Id="rId1" Type="http://schemas.openxmlformats.org/officeDocument/2006/relationships/image" Target="../media/image27.emf"/><Relationship Id="rId5" Type="http://schemas.openxmlformats.org/officeDocument/2006/relationships/image" Target="../media/image1.png"/><Relationship Id="rId4" Type="http://schemas.openxmlformats.org/officeDocument/2006/relationships/image" Target="../media/image30.emf"/></Relationships>
</file>

<file path=xl/drawings/_rels/drawing6.xml.rels><?xml version="1.0" encoding="UTF-8" standalone="yes"?>
<Relationships xmlns="http://schemas.openxmlformats.org/package/2006/relationships"><Relationship Id="rId3" Type="http://schemas.openxmlformats.org/officeDocument/2006/relationships/image" Target="../media/image36.emf"/><Relationship Id="rId2" Type="http://schemas.openxmlformats.org/officeDocument/2006/relationships/image" Target="../media/image22.emf"/><Relationship Id="rId1" Type="http://schemas.openxmlformats.org/officeDocument/2006/relationships/image" Target="../media/image35.emf"/><Relationship Id="rId5" Type="http://schemas.openxmlformats.org/officeDocument/2006/relationships/image" Target="../media/image1.png"/><Relationship Id="rId4" Type="http://schemas.openxmlformats.org/officeDocument/2006/relationships/image" Target="../media/image37.emf"/></Relationships>
</file>

<file path=xl/drawings/_rels/drawing7.xml.rels><?xml version="1.0" encoding="UTF-8" standalone="yes"?>
<Relationships xmlns="http://schemas.openxmlformats.org/package/2006/relationships"><Relationship Id="rId3" Type="http://schemas.openxmlformats.org/officeDocument/2006/relationships/image" Target="../media/image37.emf"/><Relationship Id="rId2" Type="http://schemas.openxmlformats.org/officeDocument/2006/relationships/image" Target="../media/image42.emf"/><Relationship Id="rId1" Type="http://schemas.openxmlformats.org/officeDocument/2006/relationships/image" Target="../media/image41.emf"/><Relationship Id="rId5" Type="http://schemas.openxmlformats.org/officeDocument/2006/relationships/image" Target="../media/image1.png"/><Relationship Id="rId4" Type="http://schemas.openxmlformats.org/officeDocument/2006/relationships/image" Target="../media/image43.emf"/></Relationships>
</file>

<file path=xl/drawings/_rels/drawing8.xml.rels><?xml version="1.0" encoding="UTF-8" standalone="yes"?>
<Relationships xmlns="http://schemas.openxmlformats.org/package/2006/relationships"><Relationship Id="rId3" Type="http://schemas.openxmlformats.org/officeDocument/2006/relationships/image" Target="../media/image49.emf"/><Relationship Id="rId2" Type="http://schemas.openxmlformats.org/officeDocument/2006/relationships/image" Target="../media/image48.emf"/><Relationship Id="rId1" Type="http://schemas.openxmlformats.org/officeDocument/2006/relationships/image" Target="../media/image47.emf"/><Relationship Id="rId5" Type="http://schemas.openxmlformats.org/officeDocument/2006/relationships/image" Target="../media/image1.png"/><Relationship Id="rId4" Type="http://schemas.openxmlformats.org/officeDocument/2006/relationships/image" Target="../media/image50.emf"/></Relationships>
</file>

<file path=xl/drawings/_rels/drawing9.xml.rels><?xml version="1.0" encoding="UTF-8" standalone="yes"?>
<Relationships xmlns="http://schemas.openxmlformats.org/package/2006/relationships"><Relationship Id="rId3" Type="http://schemas.openxmlformats.org/officeDocument/2006/relationships/image" Target="../media/image57.emf"/><Relationship Id="rId2" Type="http://schemas.openxmlformats.org/officeDocument/2006/relationships/image" Target="../media/image56.emf"/><Relationship Id="rId1" Type="http://schemas.openxmlformats.org/officeDocument/2006/relationships/image" Target="../media/image55.emf"/><Relationship Id="rId5" Type="http://schemas.openxmlformats.org/officeDocument/2006/relationships/image" Target="../media/image1.png"/><Relationship Id="rId4" Type="http://schemas.openxmlformats.org/officeDocument/2006/relationships/image" Target="../media/image58.emf"/></Relationships>
</file>

<file path=xl/drawings/_rels/vmlDrawing10.vml.rels><?xml version="1.0" encoding="UTF-8" standalone="yes"?>
<Relationships xmlns="http://schemas.openxmlformats.org/package/2006/relationships"><Relationship Id="rId3" Type="http://schemas.openxmlformats.org/officeDocument/2006/relationships/image" Target="../media/image33.emf"/><Relationship Id="rId2" Type="http://schemas.openxmlformats.org/officeDocument/2006/relationships/image" Target="../media/image32.emf"/><Relationship Id="rId1" Type="http://schemas.openxmlformats.org/officeDocument/2006/relationships/image" Target="../media/image31.emf"/><Relationship Id="rId4" Type="http://schemas.openxmlformats.org/officeDocument/2006/relationships/image" Target="../media/image34.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3" Type="http://schemas.openxmlformats.org/officeDocument/2006/relationships/image" Target="../media/image39.emf"/><Relationship Id="rId2" Type="http://schemas.openxmlformats.org/officeDocument/2006/relationships/image" Target="../media/image26.emf"/><Relationship Id="rId1" Type="http://schemas.openxmlformats.org/officeDocument/2006/relationships/image" Target="../media/image38.emf"/><Relationship Id="rId4" Type="http://schemas.openxmlformats.org/officeDocument/2006/relationships/image" Target="../media/image40.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3" Type="http://schemas.openxmlformats.org/officeDocument/2006/relationships/image" Target="../media/image40.emf"/><Relationship Id="rId2" Type="http://schemas.openxmlformats.org/officeDocument/2006/relationships/image" Target="../media/image45.emf"/><Relationship Id="rId1" Type="http://schemas.openxmlformats.org/officeDocument/2006/relationships/image" Target="../media/image44.emf"/><Relationship Id="rId4" Type="http://schemas.openxmlformats.org/officeDocument/2006/relationships/image" Target="../media/image46.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3" Type="http://schemas.openxmlformats.org/officeDocument/2006/relationships/image" Target="../media/image53.emf"/><Relationship Id="rId2" Type="http://schemas.openxmlformats.org/officeDocument/2006/relationships/image" Target="../media/image52.emf"/><Relationship Id="rId1" Type="http://schemas.openxmlformats.org/officeDocument/2006/relationships/image" Target="../media/image51.emf"/><Relationship Id="rId4" Type="http://schemas.openxmlformats.org/officeDocument/2006/relationships/image" Target="../media/image54.e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3" Type="http://schemas.openxmlformats.org/officeDocument/2006/relationships/image" Target="../media/image61.emf"/><Relationship Id="rId2" Type="http://schemas.openxmlformats.org/officeDocument/2006/relationships/image" Target="../media/image60.emf"/><Relationship Id="rId1" Type="http://schemas.openxmlformats.org/officeDocument/2006/relationships/image" Target="../media/image59.emf"/><Relationship Id="rId4" Type="http://schemas.openxmlformats.org/officeDocument/2006/relationships/image" Target="../media/image62.em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3" Type="http://schemas.openxmlformats.org/officeDocument/2006/relationships/image" Target="../media/image69.emf"/><Relationship Id="rId2" Type="http://schemas.openxmlformats.org/officeDocument/2006/relationships/image" Target="../media/image68.emf"/><Relationship Id="rId1" Type="http://schemas.openxmlformats.org/officeDocument/2006/relationships/image" Target="../media/image67.emf"/><Relationship Id="rId4" Type="http://schemas.openxmlformats.org/officeDocument/2006/relationships/image" Target="../media/image70.emf"/></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3" Type="http://schemas.openxmlformats.org/officeDocument/2006/relationships/image" Target="../media/image70.emf"/><Relationship Id="rId2" Type="http://schemas.openxmlformats.org/officeDocument/2006/relationships/image" Target="../media/image69.emf"/><Relationship Id="rId1" Type="http://schemas.openxmlformats.org/officeDocument/2006/relationships/image" Target="../media/image73.emf"/><Relationship Id="rId4" Type="http://schemas.openxmlformats.org/officeDocument/2006/relationships/image" Target="../media/image74.emf"/></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3" Type="http://schemas.openxmlformats.org/officeDocument/2006/relationships/image" Target="../media/image81.emf"/><Relationship Id="rId2" Type="http://schemas.openxmlformats.org/officeDocument/2006/relationships/image" Target="../media/image80.emf"/><Relationship Id="rId1" Type="http://schemas.openxmlformats.org/officeDocument/2006/relationships/image" Target="../media/image79.emf"/><Relationship Id="rId4" Type="http://schemas.openxmlformats.org/officeDocument/2006/relationships/image" Target="../media/image82.emf"/></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3" Type="http://schemas.openxmlformats.org/officeDocument/2006/relationships/image" Target="../media/image82.emf"/><Relationship Id="rId2" Type="http://schemas.openxmlformats.org/officeDocument/2006/relationships/image" Target="../media/image74.emf"/><Relationship Id="rId1" Type="http://schemas.openxmlformats.org/officeDocument/2006/relationships/image" Target="../media/image85.emf"/><Relationship Id="rId4" Type="http://schemas.openxmlformats.org/officeDocument/2006/relationships/image" Target="../media/image86.emf"/></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8.vml.rels><?xml version="1.0" encoding="UTF-8" standalone="yes"?>
<Relationships xmlns="http://schemas.openxmlformats.org/package/2006/relationships"><Relationship Id="rId8" Type="http://schemas.openxmlformats.org/officeDocument/2006/relationships/image" Target="../media/image105.emf"/><Relationship Id="rId3" Type="http://schemas.openxmlformats.org/officeDocument/2006/relationships/image" Target="../media/image100.emf"/><Relationship Id="rId7" Type="http://schemas.openxmlformats.org/officeDocument/2006/relationships/image" Target="../media/image104.emf"/><Relationship Id="rId12" Type="http://schemas.openxmlformats.org/officeDocument/2006/relationships/image" Target="../media/image108.emf"/><Relationship Id="rId2" Type="http://schemas.openxmlformats.org/officeDocument/2006/relationships/image" Target="../media/image99.emf"/><Relationship Id="rId1" Type="http://schemas.openxmlformats.org/officeDocument/2006/relationships/image" Target="../media/image98.emf"/><Relationship Id="rId6" Type="http://schemas.openxmlformats.org/officeDocument/2006/relationships/image" Target="../media/image103.emf"/><Relationship Id="rId11" Type="http://schemas.openxmlformats.org/officeDocument/2006/relationships/image" Target="../media/image107.emf"/><Relationship Id="rId5" Type="http://schemas.openxmlformats.org/officeDocument/2006/relationships/image" Target="../media/image102.emf"/><Relationship Id="rId10" Type="http://schemas.openxmlformats.org/officeDocument/2006/relationships/image" Target="../media/image51.emf"/><Relationship Id="rId4" Type="http://schemas.openxmlformats.org/officeDocument/2006/relationships/image" Target="../media/image101.emf"/><Relationship Id="rId9" Type="http://schemas.openxmlformats.org/officeDocument/2006/relationships/image" Target="../media/image106.emf"/></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09.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09.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 Id="rId4" Type="http://schemas.openxmlformats.org/officeDocument/2006/relationships/image" Target="../media/image1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image" Target="../media/image17.emf"/><Relationship Id="rId1" Type="http://schemas.openxmlformats.org/officeDocument/2006/relationships/image" Target="../media/image16.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3" Type="http://schemas.openxmlformats.org/officeDocument/2006/relationships/image" Target="../media/image25.emf"/><Relationship Id="rId2" Type="http://schemas.openxmlformats.org/officeDocument/2006/relationships/image" Target="../media/image24.emf"/><Relationship Id="rId1" Type="http://schemas.openxmlformats.org/officeDocument/2006/relationships/image" Target="../media/image23.emf"/><Relationship Id="rId4" Type="http://schemas.openxmlformats.org/officeDocument/2006/relationships/image" Target="../media/image26.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66675</xdr:rowOff>
    </xdr:from>
    <xdr:to>
      <xdr:col>1</xdr:col>
      <xdr:colOff>247650</xdr:colOff>
      <xdr:row>3</xdr:row>
      <xdr:rowOff>0</xdr:rowOff>
    </xdr:to>
    <xdr:pic>
      <xdr:nvPicPr>
        <xdr:cNvPr id="3" name="Bilde 2"/>
        <xdr:cNvPicPr>
          <a:picLocks noChangeAspect="1"/>
        </xdr:cNvPicPr>
      </xdr:nvPicPr>
      <xdr:blipFill>
        <a:blip xmlns:r="http://schemas.openxmlformats.org/officeDocument/2006/relationships" r:embed="rId1"/>
        <a:stretch>
          <a:fillRect/>
        </a:stretch>
      </xdr:blipFill>
      <xdr:spPr>
        <a:xfrm>
          <a:off x="114300" y="66675"/>
          <a:ext cx="438150" cy="5143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7</xdr:row>
          <xdr:rowOff>19050</xdr:rowOff>
        </xdr:from>
        <xdr:to>
          <xdr:col>14</xdr:col>
          <xdr:colOff>19050</xdr:colOff>
          <xdr:row>14</xdr:row>
          <xdr:rowOff>95250</xdr:rowOff>
        </xdr:to>
        <xdr:pic>
          <xdr:nvPicPr>
            <xdr:cNvPr id="10331" name="Picture 91"/>
            <xdr:cNvPicPr>
              <a:picLocks noChangeAspect="1" noChangeArrowheads="1"/>
              <a:extLst>
                <a:ext uri="{84589F7E-364E-4C9E-8A38-B11213B215E9}">
                  <a14:cameraTool cellRange="Info!$M$163:$T$170" spid="_x0000_s10427"/>
                </a:ext>
              </a:extLst>
            </xdr:cNvPicPr>
          </xdr:nvPicPr>
          <xdr:blipFill>
            <a:blip xmlns:r="http://schemas.openxmlformats.org/officeDocument/2006/relationships" r:embed="rId1"/>
            <a:srcRect/>
            <a:stretch>
              <a:fillRect/>
            </a:stretch>
          </xdr:blipFill>
          <xdr:spPr bwMode="auto">
            <a:xfrm>
              <a:off x="6972300" y="1381125"/>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0</xdr:row>
          <xdr:rowOff>0</xdr:rowOff>
        </xdr:from>
        <xdr:to>
          <xdr:col>14</xdr:col>
          <xdr:colOff>19050</xdr:colOff>
          <xdr:row>6</xdr:row>
          <xdr:rowOff>9525</xdr:rowOff>
        </xdr:to>
        <xdr:pic>
          <xdr:nvPicPr>
            <xdr:cNvPr id="10332" name="Picture 92"/>
            <xdr:cNvPicPr>
              <a:picLocks noChangeAspect="1" noChangeArrowheads="1"/>
              <a:extLst>
                <a:ext uri="{84589F7E-364E-4C9E-8A38-B11213B215E9}">
                  <a14:cameraTool cellRange="Info!$M$172:$T$179" spid="_x0000_s10428"/>
                </a:ext>
              </a:extLst>
            </xdr:cNvPicPr>
          </xdr:nvPicPr>
          <xdr:blipFill>
            <a:blip xmlns:r="http://schemas.openxmlformats.org/officeDocument/2006/relationships" r:embed="rId2"/>
            <a:srcRect/>
            <a:stretch>
              <a:fillRect/>
            </a:stretch>
          </xdr:blipFill>
          <xdr:spPr bwMode="auto">
            <a:xfrm>
              <a:off x="6972300" y="0"/>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18</xdr:row>
          <xdr:rowOff>9525</xdr:rowOff>
        </xdr:from>
        <xdr:to>
          <xdr:col>14</xdr:col>
          <xdr:colOff>28575</xdr:colOff>
          <xdr:row>25</xdr:row>
          <xdr:rowOff>85725</xdr:rowOff>
        </xdr:to>
        <xdr:pic>
          <xdr:nvPicPr>
            <xdr:cNvPr id="10333" name="Picture 93"/>
            <xdr:cNvPicPr>
              <a:picLocks noChangeAspect="1" noChangeArrowheads="1"/>
              <a:extLst>
                <a:ext uri="{84589F7E-364E-4C9E-8A38-B11213B215E9}">
                  <a14:cameraTool cellRange="Info!$M$181:$T$188" spid="_x0000_s10429"/>
                </a:ext>
              </a:extLst>
            </xdr:cNvPicPr>
          </xdr:nvPicPr>
          <xdr:blipFill>
            <a:blip xmlns:r="http://schemas.openxmlformats.org/officeDocument/2006/relationships" r:embed="rId3"/>
            <a:srcRect/>
            <a:stretch>
              <a:fillRect/>
            </a:stretch>
          </xdr:blipFill>
          <xdr:spPr bwMode="auto">
            <a:xfrm>
              <a:off x="6981825" y="3152775"/>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27</xdr:row>
          <xdr:rowOff>19050</xdr:rowOff>
        </xdr:from>
        <xdr:to>
          <xdr:col>14</xdr:col>
          <xdr:colOff>28575</xdr:colOff>
          <xdr:row>34</xdr:row>
          <xdr:rowOff>95250</xdr:rowOff>
        </xdr:to>
        <xdr:pic>
          <xdr:nvPicPr>
            <xdr:cNvPr id="10337" name="Picture 97"/>
            <xdr:cNvPicPr>
              <a:picLocks noChangeAspect="1" noChangeArrowheads="1"/>
              <a:extLst>
                <a:ext uri="{84589F7E-364E-4C9E-8A38-B11213B215E9}">
                  <a14:cameraTool cellRange="Info!$M$190:$T$197" spid="_x0000_s10430"/>
                </a:ext>
              </a:extLst>
            </xdr:cNvPicPr>
          </xdr:nvPicPr>
          <xdr:blipFill>
            <a:blip xmlns:r="http://schemas.openxmlformats.org/officeDocument/2006/relationships" r:embed="rId4"/>
            <a:srcRect/>
            <a:stretch>
              <a:fillRect/>
            </a:stretch>
          </xdr:blipFill>
          <xdr:spPr bwMode="auto">
            <a:xfrm>
              <a:off x="6981825" y="4619625"/>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xdr:col>
      <xdr:colOff>0</xdr:colOff>
      <xdr:row>1</xdr:row>
      <xdr:rowOff>0</xdr:rowOff>
    </xdr:from>
    <xdr:to>
      <xdr:col>2</xdr:col>
      <xdr:colOff>1187</xdr:colOff>
      <xdr:row>3</xdr:row>
      <xdr:rowOff>113592</xdr:rowOff>
    </xdr:to>
    <xdr:pic>
      <xdr:nvPicPr>
        <xdr:cNvPr id="3" name="Bilde 2"/>
        <xdr:cNvPicPr>
          <a:picLocks noChangeAspect="1"/>
        </xdr:cNvPicPr>
      </xdr:nvPicPr>
      <xdr:blipFill>
        <a:blip xmlns:r="http://schemas.openxmlformats.org/officeDocument/2006/relationships" r:embed="rId5"/>
        <a:stretch>
          <a:fillRect/>
        </a:stretch>
      </xdr:blipFill>
      <xdr:spPr>
        <a:xfrm>
          <a:off x="200025" y="161925"/>
          <a:ext cx="506012" cy="62794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7</xdr:row>
          <xdr:rowOff>9525</xdr:rowOff>
        </xdr:from>
        <xdr:to>
          <xdr:col>14</xdr:col>
          <xdr:colOff>19050</xdr:colOff>
          <xdr:row>14</xdr:row>
          <xdr:rowOff>85725</xdr:rowOff>
        </xdr:to>
        <xdr:pic>
          <xdr:nvPicPr>
            <xdr:cNvPr id="11356" name="Picture 92"/>
            <xdr:cNvPicPr>
              <a:picLocks noChangeAspect="1" noChangeArrowheads="1"/>
              <a:extLst>
                <a:ext uri="{84589F7E-364E-4C9E-8A38-B11213B215E9}">
                  <a14:cameraTool cellRange="Info!$M$172:$T$179" spid="_x0000_s11452"/>
                </a:ext>
              </a:extLst>
            </xdr:cNvPicPr>
          </xdr:nvPicPr>
          <xdr:blipFill>
            <a:blip xmlns:r="http://schemas.openxmlformats.org/officeDocument/2006/relationships" r:embed="rId1"/>
            <a:srcRect/>
            <a:stretch>
              <a:fillRect/>
            </a:stretch>
          </xdr:blipFill>
          <xdr:spPr bwMode="auto">
            <a:xfrm>
              <a:off x="6991350" y="1371600"/>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0</xdr:row>
          <xdr:rowOff>0</xdr:rowOff>
        </xdr:from>
        <xdr:to>
          <xdr:col>14</xdr:col>
          <xdr:colOff>19050</xdr:colOff>
          <xdr:row>6</xdr:row>
          <xdr:rowOff>9525</xdr:rowOff>
        </xdr:to>
        <xdr:pic>
          <xdr:nvPicPr>
            <xdr:cNvPr id="11357" name="Picture 93"/>
            <xdr:cNvPicPr>
              <a:picLocks noChangeAspect="1" noChangeArrowheads="1"/>
              <a:extLst>
                <a:ext uri="{84589F7E-364E-4C9E-8A38-B11213B215E9}">
                  <a14:cameraTool cellRange="Info!$M$181:$T$188" spid="_x0000_s11453"/>
                </a:ext>
              </a:extLst>
            </xdr:cNvPicPr>
          </xdr:nvPicPr>
          <xdr:blipFill>
            <a:blip xmlns:r="http://schemas.openxmlformats.org/officeDocument/2006/relationships" r:embed="rId2"/>
            <a:srcRect/>
            <a:stretch>
              <a:fillRect/>
            </a:stretch>
          </xdr:blipFill>
          <xdr:spPr bwMode="auto">
            <a:xfrm>
              <a:off x="6991350" y="0"/>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18</xdr:row>
          <xdr:rowOff>9525</xdr:rowOff>
        </xdr:from>
        <xdr:to>
          <xdr:col>14</xdr:col>
          <xdr:colOff>28575</xdr:colOff>
          <xdr:row>25</xdr:row>
          <xdr:rowOff>85725</xdr:rowOff>
        </xdr:to>
        <xdr:pic>
          <xdr:nvPicPr>
            <xdr:cNvPr id="11358" name="Picture 94"/>
            <xdr:cNvPicPr>
              <a:picLocks noChangeAspect="1" noChangeArrowheads="1"/>
              <a:extLst>
                <a:ext uri="{84589F7E-364E-4C9E-8A38-B11213B215E9}">
                  <a14:cameraTool cellRange="Info!$M$190:$T$197" spid="_x0000_s11454"/>
                </a:ext>
              </a:extLst>
            </xdr:cNvPicPr>
          </xdr:nvPicPr>
          <xdr:blipFill>
            <a:blip xmlns:r="http://schemas.openxmlformats.org/officeDocument/2006/relationships" r:embed="rId3"/>
            <a:srcRect/>
            <a:stretch>
              <a:fillRect/>
            </a:stretch>
          </xdr:blipFill>
          <xdr:spPr bwMode="auto">
            <a:xfrm>
              <a:off x="7000875" y="3152775"/>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27</xdr:row>
          <xdr:rowOff>9525</xdr:rowOff>
        </xdr:from>
        <xdr:to>
          <xdr:col>14</xdr:col>
          <xdr:colOff>28575</xdr:colOff>
          <xdr:row>34</xdr:row>
          <xdr:rowOff>85725</xdr:rowOff>
        </xdr:to>
        <xdr:pic>
          <xdr:nvPicPr>
            <xdr:cNvPr id="11362" name="Picture 98"/>
            <xdr:cNvPicPr>
              <a:picLocks noChangeAspect="1" noChangeArrowheads="1"/>
              <a:extLst>
                <a:ext uri="{84589F7E-364E-4C9E-8A38-B11213B215E9}">
                  <a14:cameraTool cellRange="Info!$M$199:$T$206" spid="_x0000_s11455"/>
                </a:ext>
              </a:extLst>
            </xdr:cNvPicPr>
          </xdr:nvPicPr>
          <xdr:blipFill>
            <a:blip xmlns:r="http://schemas.openxmlformats.org/officeDocument/2006/relationships" r:embed="rId4"/>
            <a:srcRect/>
            <a:stretch>
              <a:fillRect/>
            </a:stretch>
          </xdr:blipFill>
          <xdr:spPr bwMode="auto">
            <a:xfrm>
              <a:off x="7000875" y="4610100"/>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xdr:col>
      <xdr:colOff>0</xdr:colOff>
      <xdr:row>1</xdr:row>
      <xdr:rowOff>0</xdr:rowOff>
    </xdr:from>
    <xdr:to>
      <xdr:col>2</xdr:col>
      <xdr:colOff>1187</xdr:colOff>
      <xdr:row>3</xdr:row>
      <xdr:rowOff>113592</xdr:rowOff>
    </xdr:to>
    <xdr:pic>
      <xdr:nvPicPr>
        <xdr:cNvPr id="2" name="Bilde 1"/>
        <xdr:cNvPicPr>
          <a:picLocks noChangeAspect="1"/>
        </xdr:cNvPicPr>
      </xdr:nvPicPr>
      <xdr:blipFill>
        <a:blip xmlns:r="http://schemas.openxmlformats.org/officeDocument/2006/relationships" r:embed="rId5"/>
        <a:stretch>
          <a:fillRect/>
        </a:stretch>
      </xdr:blipFill>
      <xdr:spPr>
        <a:xfrm>
          <a:off x="200025" y="161925"/>
          <a:ext cx="506012" cy="62794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7</xdr:row>
          <xdr:rowOff>0</xdr:rowOff>
        </xdr:from>
        <xdr:to>
          <xdr:col>14</xdr:col>
          <xdr:colOff>19050</xdr:colOff>
          <xdr:row>14</xdr:row>
          <xdr:rowOff>76200</xdr:rowOff>
        </xdr:to>
        <xdr:pic>
          <xdr:nvPicPr>
            <xdr:cNvPr id="12379" name="Picture 91"/>
            <xdr:cNvPicPr>
              <a:picLocks noChangeAspect="1" noChangeArrowheads="1"/>
              <a:extLst>
                <a:ext uri="{84589F7E-364E-4C9E-8A38-B11213B215E9}">
                  <a14:cameraTool cellRange="Info!$M$181:$T$188" spid="_x0000_s12475"/>
                </a:ext>
              </a:extLst>
            </xdr:cNvPicPr>
          </xdr:nvPicPr>
          <xdr:blipFill>
            <a:blip xmlns:r="http://schemas.openxmlformats.org/officeDocument/2006/relationships" r:embed="rId1"/>
            <a:srcRect/>
            <a:stretch>
              <a:fillRect/>
            </a:stretch>
          </xdr:blipFill>
          <xdr:spPr bwMode="auto">
            <a:xfrm>
              <a:off x="6991350" y="1362075"/>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0</xdr:row>
          <xdr:rowOff>0</xdr:rowOff>
        </xdr:from>
        <xdr:to>
          <xdr:col>14</xdr:col>
          <xdr:colOff>19050</xdr:colOff>
          <xdr:row>6</xdr:row>
          <xdr:rowOff>9525</xdr:rowOff>
        </xdr:to>
        <xdr:pic>
          <xdr:nvPicPr>
            <xdr:cNvPr id="12380" name="Picture 92"/>
            <xdr:cNvPicPr>
              <a:picLocks noChangeAspect="1" noChangeArrowheads="1"/>
              <a:extLst>
                <a:ext uri="{84589F7E-364E-4C9E-8A38-B11213B215E9}">
                  <a14:cameraTool cellRange="Info!$M$190:$T$197" spid="_x0000_s12476"/>
                </a:ext>
              </a:extLst>
            </xdr:cNvPicPr>
          </xdr:nvPicPr>
          <xdr:blipFill>
            <a:blip xmlns:r="http://schemas.openxmlformats.org/officeDocument/2006/relationships" r:embed="rId2"/>
            <a:srcRect/>
            <a:stretch>
              <a:fillRect/>
            </a:stretch>
          </xdr:blipFill>
          <xdr:spPr bwMode="auto">
            <a:xfrm>
              <a:off x="6991350" y="0"/>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18</xdr:row>
          <xdr:rowOff>9525</xdr:rowOff>
        </xdr:from>
        <xdr:to>
          <xdr:col>14</xdr:col>
          <xdr:colOff>38100</xdr:colOff>
          <xdr:row>25</xdr:row>
          <xdr:rowOff>85725</xdr:rowOff>
        </xdr:to>
        <xdr:pic>
          <xdr:nvPicPr>
            <xdr:cNvPr id="12381" name="Picture 93"/>
            <xdr:cNvPicPr>
              <a:picLocks noChangeAspect="1" noChangeArrowheads="1"/>
              <a:extLst>
                <a:ext uri="{84589F7E-364E-4C9E-8A38-B11213B215E9}">
                  <a14:cameraTool cellRange="Info!$M$199:$T$206" spid="_x0000_s12477"/>
                </a:ext>
              </a:extLst>
            </xdr:cNvPicPr>
          </xdr:nvPicPr>
          <xdr:blipFill>
            <a:blip xmlns:r="http://schemas.openxmlformats.org/officeDocument/2006/relationships" r:embed="rId3"/>
            <a:srcRect/>
            <a:stretch>
              <a:fillRect/>
            </a:stretch>
          </xdr:blipFill>
          <xdr:spPr bwMode="auto">
            <a:xfrm>
              <a:off x="7010400" y="3152775"/>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27</xdr:row>
          <xdr:rowOff>0</xdr:rowOff>
        </xdr:from>
        <xdr:to>
          <xdr:col>14</xdr:col>
          <xdr:colOff>47625</xdr:colOff>
          <xdr:row>34</xdr:row>
          <xdr:rowOff>76200</xdr:rowOff>
        </xdr:to>
        <xdr:pic>
          <xdr:nvPicPr>
            <xdr:cNvPr id="12385" name="Picture 97"/>
            <xdr:cNvPicPr>
              <a:picLocks noChangeAspect="1" noChangeArrowheads="1"/>
              <a:extLst>
                <a:ext uri="{84589F7E-364E-4C9E-8A38-B11213B215E9}">
                  <a14:cameraTool cellRange="Info!$M$208:$T$215" spid="_x0000_s12478"/>
                </a:ext>
              </a:extLst>
            </xdr:cNvPicPr>
          </xdr:nvPicPr>
          <xdr:blipFill>
            <a:blip xmlns:r="http://schemas.openxmlformats.org/officeDocument/2006/relationships" r:embed="rId4"/>
            <a:srcRect/>
            <a:stretch>
              <a:fillRect/>
            </a:stretch>
          </xdr:blipFill>
          <xdr:spPr bwMode="auto">
            <a:xfrm>
              <a:off x="7019925" y="4600575"/>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xdr:col>
      <xdr:colOff>0</xdr:colOff>
      <xdr:row>1</xdr:row>
      <xdr:rowOff>0</xdr:rowOff>
    </xdr:from>
    <xdr:to>
      <xdr:col>2</xdr:col>
      <xdr:colOff>1187</xdr:colOff>
      <xdr:row>3</xdr:row>
      <xdr:rowOff>113592</xdr:rowOff>
    </xdr:to>
    <xdr:pic>
      <xdr:nvPicPr>
        <xdr:cNvPr id="3" name="Bilde 2"/>
        <xdr:cNvPicPr>
          <a:picLocks noChangeAspect="1"/>
        </xdr:cNvPicPr>
      </xdr:nvPicPr>
      <xdr:blipFill>
        <a:blip xmlns:r="http://schemas.openxmlformats.org/officeDocument/2006/relationships" r:embed="rId5"/>
        <a:stretch>
          <a:fillRect/>
        </a:stretch>
      </xdr:blipFill>
      <xdr:spPr>
        <a:xfrm>
          <a:off x="200025" y="161925"/>
          <a:ext cx="506012" cy="62794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7</xdr:row>
          <xdr:rowOff>0</xdr:rowOff>
        </xdr:from>
        <xdr:to>
          <xdr:col>14</xdr:col>
          <xdr:colOff>19050</xdr:colOff>
          <xdr:row>14</xdr:row>
          <xdr:rowOff>76200</xdr:rowOff>
        </xdr:to>
        <xdr:pic>
          <xdr:nvPicPr>
            <xdr:cNvPr id="13402" name="Picture 90"/>
            <xdr:cNvPicPr>
              <a:picLocks noChangeAspect="1" noChangeArrowheads="1"/>
              <a:extLst>
                <a:ext uri="{84589F7E-364E-4C9E-8A38-B11213B215E9}">
                  <a14:cameraTool cellRange="Info!$M$190:$T$197" spid="_x0000_s13500"/>
                </a:ext>
              </a:extLst>
            </xdr:cNvPicPr>
          </xdr:nvPicPr>
          <xdr:blipFill>
            <a:blip xmlns:r="http://schemas.openxmlformats.org/officeDocument/2006/relationships" r:embed="rId1"/>
            <a:srcRect/>
            <a:stretch>
              <a:fillRect/>
            </a:stretch>
          </xdr:blipFill>
          <xdr:spPr bwMode="auto">
            <a:xfrm>
              <a:off x="6991350" y="1362075"/>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0</xdr:row>
          <xdr:rowOff>0</xdr:rowOff>
        </xdr:from>
        <xdr:to>
          <xdr:col>14</xdr:col>
          <xdr:colOff>19050</xdr:colOff>
          <xdr:row>6</xdr:row>
          <xdr:rowOff>9525</xdr:rowOff>
        </xdr:to>
        <xdr:pic>
          <xdr:nvPicPr>
            <xdr:cNvPr id="13403" name="Picture 91"/>
            <xdr:cNvPicPr>
              <a:picLocks noChangeAspect="1" noChangeArrowheads="1"/>
              <a:extLst>
                <a:ext uri="{84589F7E-364E-4C9E-8A38-B11213B215E9}">
                  <a14:cameraTool cellRange="Info!$M$199:$T$206" spid="_x0000_s13501"/>
                </a:ext>
              </a:extLst>
            </xdr:cNvPicPr>
          </xdr:nvPicPr>
          <xdr:blipFill>
            <a:blip xmlns:r="http://schemas.openxmlformats.org/officeDocument/2006/relationships" r:embed="rId2"/>
            <a:srcRect/>
            <a:stretch>
              <a:fillRect/>
            </a:stretch>
          </xdr:blipFill>
          <xdr:spPr bwMode="auto">
            <a:xfrm>
              <a:off x="6991350" y="0"/>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18</xdr:row>
          <xdr:rowOff>9525</xdr:rowOff>
        </xdr:from>
        <xdr:to>
          <xdr:col>14</xdr:col>
          <xdr:colOff>38100</xdr:colOff>
          <xdr:row>25</xdr:row>
          <xdr:rowOff>85725</xdr:rowOff>
        </xdr:to>
        <xdr:pic>
          <xdr:nvPicPr>
            <xdr:cNvPr id="13404" name="Picture 92"/>
            <xdr:cNvPicPr>
              <a:picLocks noChangeAspect="1" noChangeArrowheads="1"/>
              <a:extLst>
                <a:ext uri="{84589F7E-364E-4C9E-8A38-B11213B215E9}">
                  <a14:cameraTool cellRange="Info!$M$208:$T$215" spid="_x0000_s13502"/>
                </a:ext>
              </a:extLst>
            </xdr:cNvPicPr>
          </xdr:nvPicPr>
          <xdr:blipFill>
            <a:blip xmlns:r="http://schemas.openxmlformats.org/officeDocument/2006/relationships" r:embed="rId3"/>
            <a:srcRect/>
            <a:stretch>
              <a:fillRect/>
            </a:stretch>
          </xdr:blipFill>
          <xdr:spPr bwMode="auto">
            <a:xfrm>
              <a:off x="7010400" y="3152775"/>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27</xdr:row>
          <xdr:rowOff>9525</xdr:rowOff>
        </xdr:from>
        <xdr:to>
          <xdr:col>14</xdr:col>
          <xdr:colOff>38100</xdr:colOff>
          <xdr:row>34</xdr:row>
          <xdr:rowOff>85725</xdr:rowOff>
        </xdr:to>
        <xdr:pic>
          <xdr:nvPicPr>
            <xdr:cNvPr id="13410" name="Picture 98"/>
            <xdr:cNvPicPr>
              <a:picLocks noChangeAspect="1" noChangeArrowheads="1"/>
              <a:extLst>
                <a:ext uri="{84589F7E-364E-4C9E-8A38-B11213B215E9}">
                  <a14:cameraTool cellRange="Info!$M$217:$T$224" spid="_x0000_s13503"/>
                </a:ext>
              </a:extLst>
            </xdr:cNvPicPr>
          </xdr:nvPicPr>
          <xdr:blipFill>
            <a:blip xmlns:r="http://schemas.openxmlformats.org/officeDocument/2006/relationships" r:embed="rId4"/>
            <a:srcRect/>
            <a:stretch>
              <a:fillRect/>
            </a:stretch>
          </xdr:blipFill>
          <xdr:spPr bwMode="auto">
            <a:xfrm>
              <a:off x="7019925" y="4610100"/>
              <a:ext cx="1362075" cy="120967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xdr:col>
      <xdr:colOff>0</xdr:colOff>
      <xdr:row>1</xdr:row>
      <xdr:rowOff>0</xdr:rowOff>
    </xdr:from>
    <xdr:to>
      <xdr:col>2</xdr:col>
      <xdr:colOff>1187</xdr:colOff>
      <xdr:row>3</xdr:row>
      <xdr:rowOff>113592</xdr:rowOff>
    </xdr:to>
    <xdr:pic>
      <xdr:nvPicPr>
        <xdr:cNvPr id="2" name="Bilde 1"/>
        <xdr:cNvPicPr>
          <a:picLocks noChangeAspect="1"/>
        </xdr:cNvPicPr>
      </xdr:nvPicPr>
      <xdr:blipFill>
        <a:blip xmlns:r="http://schemas.openxmlformats.org/officeDocument/2006/relationships" r:embed="rId5"/>
        <a:stretch>
          <a:fillRect/>
        </a:stretch>
      </xdr:blipFill>
      <xdr:spPr>
        <a:xfrm>
          <a:off x="200025" y="161925"/>
          <a:ext cx="506012" cy="62794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1</xdr:col>
          <xdr:colOff>809625</xdr:colOff>
          <xdr:row>12</xdr:row>
          <xdr:rowOff>9525</xdr:rowOff>
        </xdr:to>
        <xdr:pic>
          <xdr:nvPicPr>
            <xdr:cNvPr id="16385" name="Picture 1"/>
            <xdr:cNvPicPr>
              <a:picLocks noChangeAspect="1" noChangeArrowheads="1"/>
              <a:extLst>
                <a:ext uri="{84589F7E-364E-4C9E-8A38-B11213B215E9}">
                  <a14:cameraTool cellRange="Info!$M$100:$T$107" spid="_x0000_s16661"/>
                </a:ext>
              </a:extLst>
            </xdr:cNvPicPr>
          </xdr:nvPicPr>
          <xdr:blipFill>
            <a:blip xmlns:r="http://schemas.openxmlformats.org/officeDocument/2006/relationships" r:embed="rId1"/>
            <a:srcRect/>
            <a:stretch>
              <a:fillRect/>
            </a:stretch>
          </xdr:blipFill>
          <xdr:spPr bwMode="auto">
            <a:xfrm>
              <a:off x="0" y="647700"/>
              <a:ext cx="1476375" cy="13049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1</xdr:col>
          <xdr:colOff>809625</xdr:colOff>
          <xdr:row>21</xdr:row>
          <xdr:rowOff>9525</xdr:rowOff>
        </xdr:to>
        <xdr:pic>
          <xdr:nvPicPr>
            <xdr:cNvPr id="16386" name="Picture 2"/>
            <xdr:cNvPicPr>
              <a:picLocks noChangeAspect="1" noChangeArrowheads="1"/>
              <a:extLst>
                <a:ext uri="{84589F7E-364E-4C9E-8A38-B11213B215E9}">
                  <a14:cameraTool cellRange="Info!$M$127:$T$134" spid="_x0000_s16662"/>
                </a:ext>
              </a:extLst>
            </xdr:cNvPicPr>
          </xdr:nvPicPr>
          <xdr:blipFill>
            <a:blip xmlns:r="http://schemas.openxmlformats.org/officeDocument/2006/relationships" r:embed="rId2"/>
            <a:srcRect/>
            <a:stretch>
              <a:fillRect/>
            </a:stretch>
          </xdr:blipFill>
          <xdr:spPr bwMode="auto">
            <a:xfrm>
              <a:off x="0" y="2105025"/>
              <a:ext cx="1476375" cy="13049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1</xdr:col>
          <xdr:colOff>809625</xdr:colOff>
          <xdr:row>30</xdr:row>
          <xdr:rowOff>9525</xdr:rowOff>
        </xdr:to>
        <xdr:pic>
          <xdr:nvPicPr>
            <xdr:cNvPr id="16387" name="Picture 3"/>
            <xdr:cNvPicPr>
              <a:picLocks noChangeAspect="1" noChangeArrowheads="1"/>
              <a:extLst>
                <a:ext uri="{84589F7E-364E-4C9E-8A38-B11213B215E9}">
                  <a14:cameraTool cellRange="Info!$M$154:$T$161" spid="_x0000_s16663"/>
                </a:ext>
              </a:extLst>
            </xdr:cNvPicPr>
          </xdr:nvPicPr>
          <xdr:blipFill>
            <a:blip xmlns:r="http://schemas.openxmlformats.org/officeDocument/2006/relationships" r:embed="rId3"/>
            <a:srcRect/>
            <a:stretch>
              <a:fillRect/>
            </a:stretch>
          </xdr:blipFill>
          <xdr:spPr bwMode="auto">
            <a:xfrm>
              <a:off x="0" y="3562350"/>
              <a:ext cx="1476375" cy="13049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1</xdr:col>
          <xdr:colOff>809625</xdr:colOff>
          <xdr:row>39</xdr:row>
          <xdr:rowOff>9525</xdr:rowOff>
        </xdr:to>
        <xdr:pic>
          <xdr:nvPicPr>
            <xdr:cNvPr id="16388" name="Picture 4"/>
            <xdr:cNvPicPr>
              <a:picLocks noChangeAspect="1" noChangeArrowheads="1"/>
              <a:extLst>
                <a:ext uri="{84589F7E-364E-4C9E-8A38-B11213B215E9}">
                  <a14:cameraTool cellRange="Info!$M$181:$T$188" spid="_x0000_s16664"/>
                </a:ext>
              </a:extLst>
            </xdr:cNvPicPr>
          </xdr:nvPicPr>
          <xdr:blipFill>
            <a:blip xmlns:r="http://schemas.openxmlformats.org/officeDocument/2006/relationships" r:embed="rId4"/>
            <a:srcRect/>
            <a:stretch>
              <a:fillRect/>
            </a:stretch>
          </xdr:blipFill>
          <xdr:spPr bwMode="auto">
            <a:xfrm>
              <a:off x="0" y="5019675"/>
              <a:ext cx="1476375" cy="13049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0</xdr:rowOff>
        </xdr:from>
        <xdr:to>
          <xdr:col>4</xdr:col>
          <xdr:colOff>781050</xdr:colOff>
          <xdr:row>12</xdr:row>
          <xdr:rowOff>9525</xdr:rowOff>
        </xdr:to>
        <xdr:pic>
          <xdr:nvPicPr>
            <xdr:cNvPr id="16389" name="Picture 5"/>
            <xdr:cNvPicPr>
              <a:picLocks noChangeAspect="1" noChangeArrowheads="1"/>
              <a:extLst>
                <a:ext uri="{84589F7E-364E-4C9E-8A38-B11213B215E9}">
                  <a14:cameraTool cellRange="Info!$M$109:$T$116" spid="_x0000_s16665"/>
                </a:ext>
              </a:extLst>
            </xdr:cNvPicPr>
          </xdr:nvPicPr>
          <xdr:blipFill>
            <a:blip xmlns:r="http://schemas.openxmlformats.org/officeDocument/2006/relationships" r:embed="rId5"/>
            <a:srcRect/>
            <a:stretch>
              <a:fillRect/>
            </a:stretch>
          </xdr:blipFill>
          <xdr:spPr bwMode="auto">
            <a:xfrm>
              <a:off x="1857375" y="647700"/>
              <a:ext cx="1476375" cy="13049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4</xdr:col>
          <xdr:colOff>781050</xdr:colOff>
          <xdr:row>21</xdr:row>
          <xdr:rowOff>9525</xdr:rowOff>
        </xdr:to>
        <xdr:pic>
          <xdr:nvPicPr>
            <xdr:cNvPr id="16390" name="Picture 6"/>
            <xdr:cNvPicPr>
              <a:picLocks noChangeAspect="1" noChangeArrowheads="1"/>
              <a:extLst>
                <a:ext uri="{84589F7E-364E-4C9E-8A38-B11213B215E9}">
                  <a14:cameraTool cellRange="Info!$M$136:$T$143" spid="_x0000_s16666"/>
                </a:ext>
              </a:extLst>
            </xdr:cNvPicPr>
          </xdr:nvPicPr>
          <xdr:blipFill>
            <a:blip xmlns:r="http://schemas.openxmlformats.org/officeDocument/2006/relationships" r:embed="rId6"/>
            <a:srcRect/>
            <a:stretch>
              <a:fillRect/>
            </a:stretch>
          </xdr:blipFill>
          <xdr:spPr bwMode="auto">
            <a:xfrm>
              <a:off x="1857375" y="2105025"/>
              <a:ext cx="1476375" cy="13049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4</xdr:col>
          <xdr:colOff>781050</xdr:colOff>
          <xdr:row>30</xdr:row>
          <xdr:rowOff>9525</xdr:rowOff>
        </xdr:to>
        <xdr:pic>
          <xdr:nvPicPr>
            <xdr:cNvPr id="16391" name="Picture 7"/>
            <xdr:cNvPicPr>
              <a:picLocks noChangeAspect="1" noChangeArrowheads="1"/>
              <a:extLst>
                <a:ext uri="{84589F7E-364E-4C9E-8A38-B11213B215E9}">
                  <a14:cameraTool cellRange="Info!$M$163:$T$170" spid="_x0000_s16667"/>
                </a:ext>
              </a:extLst>
            </xdr:cNvPicPr>
          </xdr:nvPicPr>
          <xdr:blipFill>
            <a:blip xmlns:r="http://schemas.openxmlformats.org/officeDocument/2006/relationships" r:embed="rId7"/>
            <a:srcRect/>
            <a:stretch>
              <a:fillRect/>
            </a:stretch>
          </xdr:blipFill>
          <xdr:spPr bwMode="auto">
            <a:xfrm>
              <a:off x="1857375" y="3562350"/>
              <a:ext cx="1476375" cy="13049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4</xdr:col>
          <xdr:colOff>781050</xdr:colOff>
          <xdr:row>39</xdr:row>
          <xdr:rowOff>9525</xdr:rowOff>
        </xdr:to>
        <xdr:pic>
          <xdr:nvPicPr>
            <xdr:cNvPr id="16392" name="Picture 8"/>
            <xdr:cNvPicPr>
              <a:picLocks noChangeAspect="1" noChangeArrowheads="1"/>
              <a:extLst>
                <a:ext uri="{84589F7E-364E-4C9E-8A38-B11213B215E9}">
                  <a14:cameraTool cellRange="Info!$M$190:$T$197" spid="_x0000_s16668"/>
                </a:ext>
              </a:extLst>
            </xdr:cNvPicPr>
          </xdr:nvPicPr>
          <xdr:blipFill>
            <a:blip xmlns:r="http://schemas.openxmlformats.org/officeDocument/2006/relationships" r:embed="rId8"/>
            <a:srcRect/>
            <a:stretch>
              <a:fillRect/>
            </a:stretch>
          </xdr:blipFill>
          <xdr:spPr bwMode="auto">
            <a:xfrm>
              <a:off x="1857375" y="5019675"/>
              <a:ext cx="1476375" cy="13049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0</xdr:rowOff>
        </xdr:from>
        <xdr:to>
          <xdr:col>8</xdr:col>
          <xdr:colOff>19050</xdr:colOff>
          <xdr:row>12</xdr:row>
          <xdr:rowOff>9525</xdr:rowOff>
        </xdr:to>
        <xdr:pic>
          <xdr:nvPicPr>
            <xdr:cNvPr id="16393" name="Picture 9"/>
            <xdr:cNvPicPr>
              <a:picLocks noChangeAspect="1" noChangeArrowheads="1"/>
              <a:extLst>
                <a:ext uri="{84589F7E-364E-4C9E-8A38-B11213B215E9}">
                  <a14:cameraTool cellRange="Info!$M$118:$T$125" spid="_x0000_s16669"/>
                </a:ext>
              </a:extLst>
            </xdr:cNvPicPr>
          </xdr:nvPicPr>
          <xdr:blipFill>
            <a:blip xmlns:r="http://schemas.openxmlformats.org/officeDocument/2006/relationships" r:embed="rId9"/>
            <a:srcRect/>
            <a:stretch>
              <a:fillRect/>
            </a:stretch>
          </xdr:blipFill>
          <xdr:spPr bwMode="auto">
            <a:xfrm>
              <a:off x="3676650" y="647700"/>
              <a:ext cx="1476375" cy="13049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8</xdr:col>
          <xdr:colOff>19050</xdr:colOff>
          <xdr:row>21</xdr:row>
          <xdr:rowOff>9525</xdr:rowOff>
        </xdr:to>
        <xdr:pic>
          <xdr:nvPicPr>
            <xdr:cNvPr id="16394" name="Picture 10"/>
            <xdr:cNvPicPr>
              <a:picLocks noChangeAspect="1" noChangeArrowheads="1"/>
              <a:extLst>
                <a:ext uri="{84589F7E-364E-4C9E-8A38-B11213B215E9}">
                  <a14:cameraTool cellRange="Info!$M$145:$T$152" spid="_x0000_s16670"/>
                </a:ext>
              </a:extLst>
            </xdr:cNvPicPr>
          </xdr:nvPicPr>
          <xdr:blipFill>
            <a:blip xmlns:r="http://schemas.openxmlformats.org/officeDocument/2006/relationships" r:embed="rId10"/>
            <a:srcRect/>
            <a:stretch>
              <a:fillRect/>
            </a:stretch>
          </xdr:blipFill>
          <xdr:spPr bwMode="auto">
            <a:xfrm>
              <a:off x="3676650" y="2105025"/>
              <a:ext cx="1476375" cy="13049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8</xdr:col>
          <xdr:colOff>19050</xdr:colOff>
          <xdr:row>30</xdr:row>
          <xdr:rowOff>9525</xdr:rowOff>
        </xdr:to>
        <xdr:pic>
          <xdr:nvPicPr>
            <xdr:cNvPr id="16395" name="Picture 11"/>
            <xdr:cNvPicPr>
              <a:picLocks noChangeAspect="1" noChangeArrowheads="1"/>
              <a:extLst>
                <a:ext uri="{84589F7E-364E-4C9E-8A38-B11213B215E9}">
                  <a14:cameraTool cellRange="Info!$M$172:$T$179" spid="_x0000_s16671"/>
                </a:ext>
              </a:extLst>
            </xdr:cNvPicPr>
          </xdr:nvPicPr>
          <xdr:blipFill>
            <a:blip xmlns:r="http://schemas.openxmlformats.org/officeDocument/2006/relationships" r:embed="rId11"/>
            <a:srcRect/>
            <a:stretch>
              <a:fillRect/>
            </a:stretch>
          </xdr:blipFill>
          <xdr:spPr bwMode="auto">
            <a:xfrm>
              <a:off x="3676650" y="3562350"/>
              <a:ext cx="1476375" cy="13049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8</xdr:col>
          <xdr:colOff>19050</xdr:colOff>
          <xdr:row>39</xdr:row>
          <xdr:rowOff>9525</xdr:rowOff>
        </xdr:to>
        <xdr:pic>
          <xdr:nvPicPr>
            <xdr:cNvPr id="16396" name="Picture 12"/>
            <xdr:cNvPicPr>
              <a:picLocks noChangeAspect="1" noChangeArrowheads="1"/>
              <a:extLst>
                <a:ext uri="{84589F7E-364E-4C9E-8A38-B11213B215E9}">
                  <a14:cameraTool cellRange="Info!$M$199:$T$206" spid="_x0000_s16672"/>
                </a:ext>
              </a:extLst>
            </xdr:cNvPicPr>
          </xdr:nvPicPr>
          <xdr:blipFill>
            <a:blip xmlns:r="http://schemas.openxmlformats.org/officeDocument/2006/relationships" r:embed="rId12"/>
            <a:srcRect/>
            <a:stretch>
              <a:fillRect/>
            </a:stretch>
          </xdr:blipFill>
          <xdr:spPr bwMode="auto">
            <a:xfrm>
              <a:off x="3676650" y="5019675"/>
              <a:ext cx="1476375" cy="13049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7</xdr:row>
          <xdr:rowOff>9525</xdr:rowOff>
        </xdr:from>
        <xdr:to>
          <xdr:col>14</xdr:col>
          <xdr:colOff>9525</xdr:colOff>
          <xdr:row>14</xdr:row>
          <xdr:rowOff>85725</xdr:rowOff>
        </xdr:to>
        <xdr:pic>
          <xdr:nvPicPr>
            <xdr:cNvPr id="1147" name="Picture 123"/>
            <xdr:cNvPicPr>
              <a:picLocks noChangeAspect="1" noChangeArrowheads="1"/>
              <a:extLst>
                <a:ext uri="{84589F7E-364E-4C9E-8A38-B11213B215E9}">
                  <a14:cameraTool cellRange="Info!$M$91:$T$98" spid="_x0000_s1245"/>
                </a:ext>
              </a:extLst>
            </xdr:cNvPicPr>
          </xdr:nvPicPr>
          <xdr:blipFill>
            <a:blip xmlns:r="http://schemas.openxmlformats.org/officeDocument/2006/relationships" r:embed="rId1"/>
            <a:srcRect/>
            <a:stretch>
              <a:fillRect/>
            </a:stretch>
          </xdr:blipFill>
          <xdr:spPr bwMode="auto">
            <a:xfrm>
              <a:off x="6981825" y="1371600"/>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0</xdr:row>
          <xdr:rowOff>9525</xdr:rowOff>
        </xdr:from>
        <xdr:to>
          <xdr:col>14</xdr:col>
          <xdr:colOff>9525</xdr:colOff>
          <xdr:row>6</xdr:row>
          <xdr:rowOff>19050</xdr:rowOff>
        </xdr:to>
        <xdr:pic>
          <xdr:nvPicPr>
            <xdr:cNvPr id="1148" name="Picture 124"/>
            <xdr:cNvPicPr>
              <a:picLocks noChangeAspect="1" noChangeArrowheads="1"/>
              <a:extLst>
                <a:ext uri="{84589F7E-364E-4C9E-8A38-B11213B215E9}">
                  <a14:cameraTool cellRange="Info!$M$100:$T$107" spid="_x0000_s1246"/>
                </a:ext>
              </a:extLst>
            </xdr:cNvPicPr>
          </xdr:nvPicPr>
          <xdr:blipFill>
            <a:blip xmlns:r="http://schemas.openxmlformats.org/officeDocument/2006/relationships" r:embed="rId2"/>
            <a:srcRect/>
            <a:stretch>
              <a:fillRect/>
            </a:stretch>
          </xdr:blipFill>
          <xdr:spPr bwMode="auto">
            <a:xfrm>
              <a:off x="6981825" y="9525"/>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18</xdr:row>
          <xdr:rowOff>9525</xdr:rowOff>
        </xdr:from>
        <xdr:to>
          <xdr:col>14</xdr:col>
          <xdr:colOff>9525</xdr:colOff>
          <xdr:row>25</xdr:row>
          <xdr:rowOff>85725</xdr:rowOff>
        </xdr:to>
        <xdr:pic>
          <xdr:nvPicPr>
            <xdr:cNvPr id="1149" name="Picture 125"/>
            <xdr:cNvPicPr>
              <a:picLocks noChangeAspect="1" noChangeArrowheads="1"/>
              <a:extLst>
                <a:ext uri="{84589F7E-364E-4C9E-8A38-B11213B215E9}">
                  <a14:cameraTool cellRange="Info!$M$109:$T$116" spid="_x0000_s1247"/>
                </a:ext>
              </a:extLst>
            </xdr:cNvPicPr>
          </xdr:nvPicPr>
          <xdr:blipFill>
            <a:blip xmlns:r="http://schemas.openxmlformats.org/officeDocument/2006/relationships" r:embed="rId3"/>
            <a:srcRect/>
            <a:stretch>
              <a:fillRect/>
            </a:stretch>
          </xdr:blipFill>
          <xdr:spPr bwMode="auto">
            <a:xfrm>
              <a:off x="6981825" y="3152775"/>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xdr:row>
          <xdr:rowOff>9525</xdr:rowOff>
        </xdr:from>
        <xdr:to>
          <xdr:col>14</xdr:col>
          <xdr:colOff>9525</xdr:colOff>
          <xdr:row>34</xdr:row>
          <xdr:rowOff>85725</xdr:rowOff>
        </xdr:to>
        <xdr:pic>
          <xdr:nvPicPr>
            <xdr:cNvPr id="1155" name="Picture 131"/>
            <xdr:cNvPicPr>
              <a:picLocks noChangeAspect="1" noChangeArrowheads="1"/>
              <a:extLst>
                <a:ext uri="{84589F7E-364E-4C9E-8A38-B11213B215E9}">
                  <a14:cameraTool cellRange="Info!$M$118:$T$125" spid="_x0000_s1248"/>
                </a:ext>
              </a:extLst>
            </xdr:cNvPicPr>
          </xdr:nvPicPr>
          <xdr:blipFill>
            <a:blip xmlns:r="http://schemas.openxmlformats.org/officeDocument/2006/relationships" r:embed="rId4"/>
            <a:srcRect/>
            <a:stretch>
              <a:fillRect/>
            </a:stretch>
          </xdr:blipFill>
          <xdr:spPr bwMode="auto">
            <a:xfrm>
              <a:off x="6981825" y="4610100"/>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xdr:col>
      <xdr:colOff>19052</xdr:colOff>
      <xdr:row>0</xdr:row>
      <xdr:rowOff>114301</xdr:rowOff>
    </xdr:from>
    <xdr:to>
      <xdr:col>2</xdr:col>
      <xdr:colOff>16855</xdr:colOff>
      <xdr:row>3</xdr:row>
      <xdr:rowOff>66675</xdr:rowOff>
    </xdr:to>
    <xdr:pic>
      <xdr:nvPicPr>
        <xdr:cNvPr id="2" name="Bilde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09552" y="114301"/>
          <a:ext cx="502628" cy="6286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7</xdr:row>
          <xdr:rowOff>19050</xdr:rowOff>
        </xdr:from>
        <xdr:to>
          <xdr:col>14</xdr:col>
          <xdr:colOff>19050</xdr:colOff>
          <xdr:row>14</xdr:row>
          <xdr:rowOff>95250</xdr:rowOff>
        </xdr:to>
        <xdr:pic>
          <xdr:nvPicPr>
            <xdr:cNvPr id="3192" name="Picture 120"/>
            <xdr:cNvPicPr>
              <a:picLocks noChangeAspect="1" noChangeArrowheads="1"/>
              <a:extLst>
                <a:ext uri="{84589F7E-364E-4C9E-8A38-B11213B215E9}">
                  <a14:cameraTool cellRange="Info!$M$100:$T$107" spid="_x0000_s3270"/>
                </a:ext>
              </a:extLst>
            </xdr:cNvPicPr>
          </xdr:nvPicPr>
          <xdr:blipFill>
            <a:blip xmlns:r="http://schemas.openxmlformats.org/officeDocument/2006/relationships" r:embed="rId1"/>
            <a:srcRect/>
            <a:stretch>
              <a:fillRect/>
            </a:stretch>
          </xdr:blipFill>
          <xdr:spPr bwMode="auto">
            <a:xfrm>
              <a:off x="6962775" y="1381125"/>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0</xdr:row>
          <xdr:rowOff>9525</xdr:rowOff>
        </xdr:from>
        <xdr:to>
          <xdr:col>14</xdr:col>
          <xdr:colOff>19050</xdr:colOff>
          <xdr:row>6</xdr:row>
          <xdr:rowOff>19050</xdr:rowOff>
        </xdr:to>
        <xdr:pic>
          <xdr:nvPicPr>
            <xdr:cNvPr id="3193" name="Picture 121"/>
            <xdr:cNvPicPr>
              <a:picLocks noChangeAspect="1" noChangeArrowheads="1"/>
              <a:extLst>
                <a:ext uri="{84589F7E-364E-4C9E-8A38-B11213B215E9}">
                  <a14:cameraTool cellRange="Info!$M$109:$T$116" spid="_x0000_s3271"/>
                </a:ext>
              </a:extLst>
            </xdr:cNvPicPr>
          </xdr:nvPicPr>
          <xdr:blipFill>
            <a:blip xmlns:r="http://schemas.openxmlformats.org/officeDocument/2006/relationships" r:embed="rId2"/>
            <a:srcRect/>
            <a:stretch>
              <a:fillRect/>
            </a:stretch>
          </xdr:blipFill>
          <xdr:spPr bwMode="auto">
            <a:xfrm>
              <a:off x="6962775" y="9525"/>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18</xdr:row>
          <xdr:rowOff>9525</xdr:rowOff>
        </xdr:from>
        <xdr:to>
          <xdr:col>14</xdr:col>
          <xdr:colOff>19050</xdr:colOff>
          <xdr:row>25</xdr:row>
          <xdr:rowOff>85725</xdr:rowOff>
        </xdr:to>
        <xdr:pic>
          <xdr:nvPicPr>
            <xdr:cNvPr id="3194" name="Picture 122"/>
            <xdr:cNvPicPr>
              <a:picLocks noChangeAspect="1" noChangeArrowheads="1"/>
              <a:extLst>
                <a:ext uri="{84589F7E-364E-4C9E-8A38-B11213B215E9}">
                  <a14:cameraTool cellRange="Info!$M$118:$T$125" spid="_x0000_s3272"/>
                </a:ext>
              </a:extLst>
            </xdr:cNvPicPr>
          </xdr:nvPicPr>
          <xdr:blipFill>
            <a:blip xmlns:r="http://schemas.openxmlformats.org/officeDocument/2006/relationships" r:embed="rId3"/>
            <a:srcRect/>
            <a:stretch>
              <a:fillRect/>
            </a:stretch>
          </xdr:blipFill>
          <xdr:spPr bwMode="auto">
            <a:xfrm>
              <a:off x="6962775" y="3152775"/>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13</xdr:col>
      <xdr:colOff>0</xdr:colOff>
      <xdr:row>27</xdr:row>
      <xdr:rowOff>9525</xdr:rowOff>
    </xdr:from>
    <xdr:to>
      <xdr:col>14</xdr:col>
      <xdr:colOff>19050</xdr:colOff>
      <xdr:row>34</xdr:row>
      <xdr:rowOff>76200</xdr:rowOff>
    </xdr:to>
    <xdr:pic>
      <xdr:nvPicPr>
        <xdr:cNvPr id="3201" name="Picture 12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962775" y="4610100"/>
          <a:ext cx="137160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1187</xdr:colOff>
      <xdr:row>3</xdr:row>
      <xdr:rowOff>113592</xdr:rowOff>
    </xdr:to>
    <xdr:pic>
      <xdr:nvPicPr>
        <xdr:cNvPr id="2" name="Bilde 1"/>
        <xdr:cNvPicPr>
          <a:picLocks noChangeAspect="1"/>
        </xdr:cNvPicPr>
      </xdr:nvPicPr>
      <xdr:blipFill>
        <a:blip xmlns:r="http://schemas.openxmlformats.org/officeDocument/2006/relationships" r:embed="rId5"/>
        <a:stretch>
          <a:fillRect/>
        </a:stretch>
      </xdr:blipFill>
      <xdr:spPr>
        <a:xfrm>
          <a:off x="171450" y="161925"/>
          <a:ext cx="506012" cy="6279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7</xdr:row>
          <xdr:rowOff>9525</xdr:rowOff>
        </xdr:from>
        <xdr:to>
          <xdr:col>14</xdr:col>
          <xdr:colOff>19050</xdr:colOff>
          <xdr:row>14</xdr:row>
          <xdr:rowOff>85725</xdr:rowOff>
        </xdr:to>
        <xdr:pic>
          <xdr:nvPicPr>
            <xdr:cNvPr id="4222" name="Picture 126"/>
            <xdr:cNvPicPr>
              <a:picLocks noChangeAspect="1" noChangeArrowheads="1"/>
              <a:extLst>
                <a:ext uri="{84589F7E-364E-4C9E-8A38-B11213B215E9}">
                  <a14:cameraTool cellRange="Info!$M$109:$T$116" spid="_x0000_s4318"/>
                </a:ext>
              </a:extLst>
            </xdr:cNvPicPr>
          </xdr:nvPicPr>
          <xdr:blipFill>
            <a:blip xmlns:r="http://schemas.openxmlformats.org/officeDocument/2006/relationships" r:embed="rId1"/>
            <a:srcRect/>
            <a:stretch>
              <a:fillRect/>
            </a:stretch>
          </xdr:blipFill>
          <xdr:spPr bwMode="auto">
            <a:xfrm>
              <a:off x="6962775" y="1371600"/>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0</xdr:row>
          <xdr:rowOff>0</xdr:rowOff>
        </xdr:from>
        <xdr:to>
          <xdr:col>14</xdr:col>
          <xdr:colOff>19050</xdr:colOff>
          <xdr:row>6</xdr:row>
          <xdr:rowOff>9525</xdr:rowOff>
        </xdr:to>
        <xdr:pic>
          <xdr:nvPicPr>
            <xdr:cNvPr id="4223" name="Picture 127"/>
            <xdr:cNvPicPr>
              <a:picLocks noChangeAspect="1" noChangeArrowheads="1"/>
              <a:extLst>
                <a:ext uri="{84589F7E-364E-4C9E-8A38-B11213B215E9}">
                  <a14:cameraTool cellRange="Info!$M$118:$T$125" spid="_x0000_s4319"/>
                </a:ext>
              </a:extLst>
            </xdr:cNvPicPr>
          </xdr:nvPicPr>
          <xdr:blipFill>
            <a:blip xmlns:r="http://schemas.openxmlformats.org/officeDocument/2006/relationships" r:embed="rId2"/>
            <a:srcRect/>
            <a:stretch>
              <a:fillRect/>
            </a:stretch>
          </xdr:blipFill>
          <xdr:spPr bwMode="auto">
            <a:xfrm>
              <a:off x="6962775" y="0"/>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18</xdr:row>
          <xdr:rowOff>19050</xdr:rowOff>
        </xdr:from>
        <xdr:to>
          <xdr:col>14</xdr:col>
          <xdr:colOff>19050</xdr:colOff>
          <xdr:row>25</xdr:row>
          <xdr:rowOff>95250</xdr:rowOff>
        </xdr:to>
        <xdr:pic>
          <xdr:nvPicPr>
            <xdr:cNvPr id="4224" name="Picture 128"/>
            <xdr:cNvPicPr>
              <a:picLocks noChangeAspect="1" noChangeArrowheads="1"/>
              <a:extLst>
                <a:ext uri="{84589F7E-364E-4C9E-8A38-B11213B215E9}">
                  <a14:cameraTool cellRange="Info!$M$127:$T$134" spid="_x0000_s4320"/>
                </a:ext>
              </a:extLst>
            </xdr:cNvPicPr>
          </xdr:nvPicPr>
          <xdr:blipFill>
            <a:blip xmlns:r="http://schemas.openxmlformats.org/officeDocument/2006/relationships" r:embed="rId3"/>
            <a:srcRect/>
            <a:stretch>
              <a:fillRect/>
            </a:stretch>
          </xdr:blipFill>
          <xdr:spPr bwMode="auto">
            <a:xfrm>
              <a:off x="6962775" y="3162300"/>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27</xdr:row>
          <xdr:rowOff>9525</xdr:rowOff>
        </xdr:from>
        <xdr:to>
          <xdr:col>14</xdr:col>
          <xdr:colOff>19050</xdr:colOff>
          <xdr:row>34</xdr:row>
          <xdr:rowOff>85725</xdr:rowOff>
        </xdr:to>
        <xdr:pic>
          <xdr:nvPicPr>
            <xdr:cNvPr id="4228" name="Picture 132"/>
            <xdr:cNvPicPr>
              <a:picLocks noChangeAspect="1" noChangeArrowheads="1"/>
              <a:extLst>
                <a:ext uri="{84589F7E-364E-4C9E-8A38-B11213B215E9}">
                  <a14:cameraTool cellRange="Info!$M$136:$T$143" spid="_x0000_s4321"/>
                </a:ext>
              </a:extLst>
            </xdr:cNvPicPr>
          </xdr:nvPicPr>
          <xdr:blipFill>
            <a:blip xmlns:r="http://schemas.openxmlformats.org/officeDocument/2006/relationships" r:embed="rId4"/>
            <a:srcRect/>
            <a:stretch>
              <a:fillRect/>
            </a:stretch>
          </xdr:blipFill>
          <xdr:spPr bwMode="auto">
            <a:xfrm>
              <a:off x="6962775" y="4610100"/>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0</xdr:col>
      <xdr:colOff>133350</xdr:colOff>
      <xdr:row>0</xdr:row>
      <xdr:rowOff>57150</xdr:rowOff>
    </xdr:from>
    <xdr:to>
      <xdr:col>1</xdr:col>
      <xdr:colOff>474053</xdr:colOff>
      <xdr:row>3</xdr:row>
      <xdr:rowOff>9524</xdr:rowOff>
    </xdr:to>
    <xdr:pic>
      <xdr:nvPicPr>
        <xdr:cNvPr id="8" name="Bilde 7"/>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33350" y="57150"/>
          <a:ext cx="502628" cy="6286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7</xdr:row>
          <xdr:rowOff>9525</xdr:rowOff>
        </xdr:from>
        <xdr:to>
          <xdr:col>14</xdr:col>
          <xdr:colOff>19050</xdr:colOff>
          <xdr:row>14</xdr:row>
          <xdr:rowOff>85725</xdr:rowOff>
        </xdr:to>
        <xdr:pic>
          <xdr:nvPicPr>
            <xdr:cNvPr id="5235" name="Picture 115"/>
            <xdr:cNvPicPr>
              <a:picLocks noChangeAspect="1" noChangeArrowheads="1"/>
              <a:extLst>
                <a:ext uri="{84589F7E-364E-4C9E-8A38-B11213B215E9}">
                  <a14:cameraTool cellRange="Info!$M$118:$T$125" spid="_x0000_s5331"/>
                </a:ext>
              </a:extLst>
            </xdr:cNvPicPr>
          </xdr:nvPicPr>
          <xdr:blipFill>
            <a:blip xmlns:r="http://schemas.openxmlformats.org/officeDocument/2006/relationships" r:embed="rId1"/>
            <a:srcRect/>
            <a:stretch>
              <a:fillRect/>
            </a:stretch>
          </xdr:blipFill>
          <xdr:spPr bwMode="auto">
            <a:xfrm>
              <a:off x="6962775" y="1371600"/>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0</xdr:row>
          <xdr:rowOff>0</xdr:rowOff>
        </xdr:from>
        <xdr:to>
          <xdr:col>14</xdr:col>
          <xdr:colOff>19050</xdr:colOff>
          <xdr:row>6</xdr:row>
          <xdr:rowOff>19050</xdr:rowOff>
        </xdr:to>
        <xdr:pic>
          <xdr:nvPicPr>
            <xdr:cNvPr id="5236" name="Picture 116"/>
            <xdr:cNvPicPr>
              <a:picLocks noChangeAspect="1" noChangeArrowheads="1"/>
              <a:extLst>
                <a:ext uri="{84589F7E-364E-4C9E-8A38-B11213B215E9}">
                  <a14:cameraTool cellRange="Info!$M$127:$T$134" spid="_x0000_s5332"/>
                </a:ext>
              </a:extLst>
            </xdr:cNvPicPr>
          </xdr:nvPicPr>
          <xdr:blipFill>
            <a:blip xmlns:r="http://schemas.openxmlformats.org/officeDocument/2006/relationships" r:embed="rId2"/>
            <a:srcRect/>
            <a:stretch>
              <a:fillRect/>
            </a:stretch>
          </xdr:blipFill>
          <xdr:spPr bwMode="auto">
            <a:xfrm>
              <a:off x="6962775" y="0"/>
              <a:ext cx="1371600" cy="12192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18</xdr:row>
          <xdr:rowOff>9525</xdr:rowOff>
        </xdr:from>
        <xdr:to>
          <xdr:col>14</xdr:col>
          <xdr:colOff>0</xdr:colOff>
          <xdr:row>25</xdr:row>
          <xdr:rowOff>85725</xdr:rowOff>
        </xdr:to>
        <xdr:pic>
          <xdr:nvPicPr>
            <xdr:cNvPr id="5237" name="Picture 117"/>
            <xdr:cNvPicPr>
              <a:picLocks noChangeAspect="1" noChangeArrowheads="1"/>
              <a:extLst>
                <a:ext uri="{84589F7E-364E-4C9E-8A38-B11213B215E9}">
                  <a14:cameraTool cellRange="Info!$M$136:$T$143" spid="_x0000_s5333"/>
                </a:ext>
              </a:extLst>
            </xdr:cNvPicPr>
          </xdr:nvPicPr>
          <xdr:blipFill>
            <a:blip xmlns:r="http://schemas.openxmlformats.org/officeDocument/2006/relationships" r:embed="rId3"/>
            <a:srcRect/>
            <a:stretch>
              <a:fillRect/>
            </a:stretch>
          </xdr:blipFill>
          <xdr:spPr bwMode="auto">
            <a:xfrm>
              <a:off x="6943725" y="3152775"/>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27</xdr:row>
          <xdr:rowOff>9525</xdr:rowOff>
        </xdr:from>
        <xdr:to>
          <xdr:col>14</xdr:col>
          <xdr:colOff>0</xdr:colOff>
          <xdr:row>34</xdr:row>
          <xdr:rowOff>85725</xdr:rowOff>
        </xdr:to>
        <xdr:pic>
          <xdr:nvPicPr>
            <xdr:cNvPr id="5241" name="Picture 121"/>
            <xdr:cNvPicPr>
              <a:picLocks noChangeAspect="1" noChangeArrowheads="1"/>
              <a:extLst>
                <a:ext uri="{84589F7E-364E-4C9E-8A38-B11213B215E9}">
                  <a14:cameraTool cellRange="Info!$M$145:$T$152" spid="_x0000_s5334"/>
                </a:ext>
              </a:extLst>
            </xdr:cNvPicPr>
          </xdr:nvPicPr>
          <xdr:blipFill>
            <a:blip xmlns:r="http://schemas.openxmlformats.org/officeDocument/2006/relationships" r:embed="rId4"/>
            <a:srcRect/>
            <a:stretch>
              <a:fillRect/>
            </a:stretch>
          </xdr:blipFill>
          <xdr:spPr bwMode="auto">
            <a:xfrm>
              <a:off x="6943725" y="4610100"/>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xdr:col>
      <xdr:colOff>0</xdr:colOff>
      <xdr:row>1</xdr:row>
      <xdr:rowOff>0</xdr:rowOff>
    </xdr:from>
    <xdr:to>
      <xdr:col>2</xdr:col>
      <xdr:colOff>1187</xdr:colOff>
      <xdr:row>3</xdr:row>
      <xdr:rowOff>113592</xdr:rowOff>
    </xdr:to>
    <xdr:pic>
      <xdr:nvPicPr>
        <xdr:cNvPr id="3" name="Bilde 2"/>
        <xdr:cNvPicPr>
          <a:picLocks noChangeAspect="1"/>
        </xdr:cNvPicPr>
      </xdr:nvPicPr>
      <xdr:blipFill>
        <a:blip xmlns:r="http://schemas.openxmlformats.org/officeDocument/2006/relationships" r:embed="rId5"/>
        <a:stretch>
          <a:fillRect/>
        </a:stretch>
      </xdr:blipFill>
      <xdr:spPr>
        <a:xfrm>
          <a:off x="171450" y="161925"/>
          <a:ext cx="506012" cy="6279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7</xdr:row>
          <xdr:rowOff>0</xdr:rowOff>
        </xdr:from>
        <xdr:to>
          <xdr:col>14</xdr:col>
          <xdr:colOff>38100</xdr:colOff>
          <xdr:row>14</xdr:row>
          <xdr:rowOff>95250</xdr:rowOff>
        </xdr:to>
        <xdr:pic>
          <xdr:nvPicPr>
            <xdr:cNvPr id="6236" name="Picture 92"/>
            <xdr:cNvPicPr>
              <a:picLocks noChangeAspect="1" noChangeArrowheads="1"/>
              <a:extLst>
                <a:ext uri="{84589F7E-364E-4C9E-8A38-B11213B215E9}">
                  <a14:cameraTool cellRange="Info!$M$127:$T$134" spid="_x0000_s6332"/>
                </a:ext>
              </a:extLst>
            </xdr:cNvPicPr>
          </xdr:nvPicPr>
          <xdr:blipFill>
            <a:blip xmlns:r="http://schemas.openxmlformats.org/officeDocument/2006/relationships" r:embed="rId1"/>
            <a:srcRect/>
            <a:stretch>
              <a:fillRect/>
            </a:stretch>
          </xdr:blipFill>
          <xdr:spPr bwMode="auto">
            <a:xfrm>
              <a:off x="6962775" y="1362075"/>
              <a:ext cx="1390650" cy="12287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0</xdr:row>
          <xdr:rowOff>0</xdr:rowOff>
        </xdr:from>
        <xdr:to>
          <xdr:col>14</xdr:col>
          <xdr:colOff>19050</xdr:colOff>
          <xdr:row>6</xdr:row>
          <xdr:rowOff>9525</xdr:rowOff>
        </xdr:to>
        <xdr:pic>
          <xdr:nvPicPr>
            <xdr:cNvPr id="6237" name="Picture 93"/>
            <xdr:cNvPicPr>
              <a:picLocks noChangeAspect="1" noChangeArrowheads="1"/>
              <a:extLst>
                <a:ext uri="{84589F7E-364E-4C9E-8A38-B11213B215E9}">
                  <a14:cameraTool cellRange="Info!$M$136:$T$143" spid="_x0000_s6333"/>
                </a:ext>
              </a:extLst>
            </xdr:cNvPicPr>
          </xdr:nvPicPr>
          <xdr:blipFill>
            <a:blip xmlns:r="http://schemas.openxmlformats.org/officeDocument/2006/relationships" r:embed="rId2"/>
            <a:srcRect/>
            <a:stretch>
              <a:fillRect/>
            </a:stretch>
          </xdr:blipFill>
          <xdr:spPr bwMode="auto">
            <a:xfrm>
              <a:off x="6962775" y="0"/>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18</xdr:row>
          <xdr:rowOff>9525</xdr:rowOff>
        </xdr:from>
        <xdr:to>
          <xdr:col>14</xdr:col>
          <xdr:colOff>28575</xdr:colOff>
          <xdr:row>25</xdr:row>
          <xdr:rowOff>85725</xdr:rowOff>
        </xdr:to>
        <xdr:pic>
          <xdr:nvPicPr>
            <xdr:cNvPr id="6238" name="Picture 94"/>
            <xdr:cNvPicPr>
              <a:picLocks noChangeAspect="1" noChangeArrowheads="1"/>
              <a:extLst>
                <a:ext uri="{84589F7E-364E-4C9E-8A38-B11213B215E9}">
                  <a14:cameraTool cellRange="Info!$M$145:$T$152" spid="_x0000_s6334"/>
                </a:ext>
              </a:extLst>
            </xdr:cNvPicPr>
          </xdr:nvPicPr>
          <xdr:blipFill>
            <a:blip xmlns:r="http://schemas.openxmlformats.org/officeDocument/2006/relationships" r:embed="rId3"/>
            <a:srcRect/>
            <a:stretch>
              <a:fillRect/>
            </a:stretch>
          </xdr:blipFill>
          <xdr:spPr bwMode="auto">
            <a:xfrm>
              <a:off x="6972300" y="3152775"/>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27</xdr:row>
          <xdr:rowOff>9525</xdr:rowOff>
        </xdr:from>
        <xdr:to>
          <xdr:col>14</xdr:col>
          <xdr:colOff>28575</xdr:colOff>
          <xdr:row>34</xdr:row>
          <xdr:rowOff>85725</xdr:rowOff>
        </xdr:to>
        <xdr:pic>
          <xdr:nvPicPr>
            <xdr:cNvPr id="6242" name="Picture 98"/>
            <xdr:cNvPicPr>
              <a:picLocks noChangeAspect="1" noChangeArrowheads="1"/>
              <a:extLst>
                <a:ext uri="{84589F7E-364E-4C9E-8A38-B11213B215E9}">
                  <a14:cameraTool cellRange="Info!$M$154:$T$161" spid="_x0000_s6335"/>
                </a:ext>
              </a:extLst>
            </xdr:cNvPicPr>
          </xdr:nvPicPr>
          <xdr:blipFill>
            <a:blip xmlns:r="http://schemas.openxmlformats.org/officeDocument/2006/relationships" r:embed="rId4"/>
            <a:srcRect/>
            <a:stretch>
              <a:fillRect/>
            </a:stretch>
          </xdr:blipFill>
          <xdr:spPr bwMode="auto">
            <a:xfrm>
              <a:off x="6972300" y="4610100"/>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xdr:col>
      <xdr:colOff>0</xdr:colOff>
      <xdr:row>1</xdr:row>
      <xdr:rowOff>0</xdr:rowOff>
    </xdr:from>
    <xdr:to>
      <xdr:col>2</xdr:col>
      <xdr:colOff>1187</xdr:colOff>
      <xdr:row>3</xdr:row>
      <xdr:rowOff>113592</xdr:rowOff>
    </xdr:to>
    <xdr:pic>
      <xdr:nvPicPr>
        <xdr:cNvPr id="2" name="Bilde 1"/>
        <xdr:cNvPicPr>
          <a:picLocks noChangeAspect="1"/>
        </xdr:cNvPicPr>
      </xdr:nvPicPr>
      <xdr:blipFill>
        <a:blip xmlns:r="http://schemas.openxmlformats.org/officeDocument/2006/relationships" r:embed="rId5"/>
        <a:stretch>
          <a:fillRect/>
        </a:stretch>
      </xdr:blipFill>
      <xdr:spPr>
        <a:xfrm>
          <a:off x="171450" y="161925"/>
          <a:ext cx="506012" cy="62794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7</xdr:row>
          <xdr:rowOff>9525</xdr:rowOff>
        </xdr:from>
        <xdr:to>
          <xdr:col>14</xdr:col>
          <xdr:colOff>19050</xdr:colOff>
          <xdr:row>14</xdr:row>
          <xdr:rowOff>85725</xdr:rowOff>
        </xdr:to>
        <xdr:pic>
          <xdr:nvPicPr>
            <xdr:cNvPr id="7258" name="Picture 90"/>
            <xdr:cNvPicPr>
              <a:picLocks noChangeAspect="1" noChangeArrowheads="1"/>
              <a:extLst>
                <a:ext uri="{84589F7E-364E-4C9E-8A38-B11213B215E9}">
                  <a14:cameraTool cellRange="Info!$M$136:$T$143" spid="_x0000_s7354"/>
                </a:ext>
              </a:extLst>
            </xdr:cNvPicPr>
          </xdr:nvPicPr>
          <xdr:blipFill>
            <a:blip xmlns:r="http://schemas.openxmlformats.org/officeDocument/2006/relationships" r:embed="rId1"/>
            <a:srcRect/>
            <a:stretch>
              <a:fillRect/>
            </a:stretch>
          </xdr:blipFill>
          <xdr:spPr bwMode="auto">
            <a:xfrm>
              <a:off x="6972300" y="1371600"/>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0</xdr:row>
          <xdr:rowOff>9525</xdr:rowOff>
        </xdr:from>
        <xdr:to>
          <xdr:col>14</xdr:col>
          <xdr:colOff>19050</xdr:colOff>
          <xdr:row>6</xdr:row>
          <xdr:rowOff>19050</xdr:rowOff>
        </xdr:to>
        <xdr:pic>
          <xdr:nvPicPr>
            <xdr:cNvPr id="7259" name="Picture 91"/>
            <xdr:cNvPicPr>
              <a:picLocks noChangeAspect="1" noChangeArrowheads="1"/>
              <a:extLst>
                <a:ext uri="{84589F7E-364E-4C9E-8A38-B11213B215E9}">
                  <a14:cameraTool cellRange="Info!$M$145:$T$152" spid="_x0000_s7355"/>
                </a:ext>
              </a:extLst>
            </xdr:cNvPicPr>
          </xdr:nvPicPr>
          <xdr:blipFill>
            <a:blip xmlns:r="http://schemas.openxmlformats.org/officeDocument/2006/relationships" r:embed="rId2"/>
            <a:srcRect/>
            <a:stretch>
              <a:fillRect/>
            </a:stretch>
          </xdr:blipFill>
          <xdr:spPr bwMode="auto">
            <a:xfrm>
              <a:off x="6972300" y="9525"/>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18</xdr:row>
          <xdr:rowOff>9525</xdr:rowOff>
        </xdr:from>
        <xdr:to>
          <xdr:col>14</xdr:col>
          <xdr:colOff>19050</xdr:colOff>
          <xdr:row>25</xdr:row>
          <xdr:rowOff>85725</xdr:rowOff>
        </xdr:to>
        <xdr:pic>
          <xdr:nvPicPr>
            <xdr:cNvPr id="7260" name="Picture 92"/>
            <xdr:cNvPicPr>
              <a:picLocks noChangeAspect="1" noChangeArrowheads="1"/>
              <a:extLst>
                <a:ext uri="{84589F7E-364E-4C9E-8A38-B11213B215E9}">
                  <a14:cameraTool cellRange="Info!$M$154:$T$161" spid="_x0000_s7356"/>
                </a:ext>
              </a:extLst>
            </xdr:cNvPicPr>
          </xdr:nvPicPr>
          <xdr:blipFill>
            <a:blip xmlns:r="http://schemas.openxmlformats.org/officeDocument/2006/relationships" r:embed="rId3"/>
            <a:srcRect/>
            <a:stretch>
              <a:fillRect/>
            </a:stretch>
          </xdr:blipFill>
          <xdr:spPr bwMode="auto">
            <a:xfrm>
              <a:off x="6972300" y="3152775"/>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27</xdr:row>
          <xdr:rowOff>9525</xdr:rowOff>
        </xdr:from>
        <xdr:to>
          <xdr:col>14</xdr:col>
          <xdr:colOff>28575</xdr:colOff>
          <xdr:row>34</xdr:row>
          <xdr:rowOff>85725</xdr:rowOff>
        </xdr:to>
        <xdr:pic>
          <xdr:nvPicPr>
            <xdr:cNvPr id="7264" name="Picture 96"/>
            <xdr:cNvPicPr>
              <a:picLocks noChangeAspect="1" noChangeArrowheads="1"/>
              <a:extLst>
                <a:ext uri="{84589F7E-364E-4C9E-8A38-B11213B215E9}">
                  <a14:cameraTool cellRange="Info!$M$163:$T$170" spid="_x0000_s7357"/>
                </a:ext>
              </a:extLst>
            </xdr:cNvPicPr>
          </xdr:nvPicPr>
          <xdr:blipFill>
            <a:blip xmlns:r="http://schemas.openxmlformats.org/officeDocument/2006/relationships" r:embed="rId4"/>
            <a:srcRect/>
            <a:stretch>
              <a:fillRect/>
            </a:stretch>
          </xdr:blipFill>
          <xdr:spPr bwMode="auto">
            <a:xfrm>
              <a:off x="6981825" y="4610100"/>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xdr:col>
      <xdr:colOff>0</xdr:colOff>
      <xdr:row>1</xdr:row>
      <xdr:rowOff>0</xdr:rowOff>
    </xdr:from>
    <xdr:to>
      <xdr:col>2</xdr:col>
      <xdr:colOff>1187</xdr:colOff>
      <xdr:row>3</xdr:row>
      <xdr:rowOff>113592</xdr:rowOff>
    </xdr:to>
    <xdr:pic>
      <xdr:nvPicPr>
        <xdr:cNvPr id="2" name="Bilde 1"/>
        <xdr:cNvPicPr>
          <a:picLocks noChangeAspect="1"/>
        </xdr:cNvPicPr>
      </xdr:nvPicPr>
      <xdr:blipFill>
        <a:blip xmlns:r="http://schemas.openxmlformats.org/officeDocument/2006/relationships" r:embed="rId5"/>
        <a:stretch>
          <a:fillRect/>
        </a:stretch>
      </xdr:blipFill>
      <xdr:spPr>
        <a:xfrm>
          <a:off x="180975" y="161925"/>
          <a:ext cx="506012" cy="62794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7</xdr:row>
          <xdr:rowOff>9525</xdr:rowOff>
        </xdr:from>
        <xdr:to>
          <xdr:col>14</xdr:col>
          <xdr:colOff>19050</xdr:colOff>
          <xdr:row>14</xdr:row>
          <xdr:rowOff>85725</xdr:rowOff>
        </xdr:to>
        <xdr:pic>
          <xdr:nvPicPr>
            <xdr:cNvPr id="8287" name="Picture 95"/>
            <xdr:cNvPicPr>
              <a:picLocks noChangeAspect="1" noChangeArrowheads="1"/>
              <a:extLst>
                <a:ext uri="{84589F7E-364E-4C9E-8A38-B11213B215E9}">
                  <a14:cameraTool cellRange="Info!$M$145:$T$152" spid="_x0000_s8383"/>
                </a:ext>
              </a:extLst>
            </xdr:cNvPicPr>
          </xdr:nvPicPr>
          <xdr:blipFill>
            <a:blip xmlns:r="http://schemas.openxmlformats.org/officeDocument/2006/relationships" r:embed="rId1"/>
            <a:srcRect/>
            <a:stretch>
              <a:fillRect/>
            </a:stretch>
          </xdr:blipFill>
          <xdr:spPr bwMode="auto">
            <a:xfrm>
              <a:off x="6972300" y="1371600"/>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0</xdr:row>
          <xdr:rowOff>0</xdr:rowOff>
        </xdr:from>
        <xdr:to>
          <xdr:col>14</xdr:col>
          <xdr:colOff>19050</xdr:colOff>
          <xdr:row>6</xdr:row>
          <xdr:rowOff>9525</xdr:rowOff>
        </xdr:to>
        <xdr:pic>
          <xdr:nvPicPr>
            <xdr:cNvPr id="8288" name="Picture 96"/>
            <xdr:cNvPicPr>
              <a:picLocks noChangeAspect="1" noChangeArrowheads="1"/>
              <a:extLst>
                <a:ext uri="{84589F7E-364E-4C9E-8A38-B11213B215E9}">
                  <a14:cameraTool cellRange="Info!$M$154:$T$161" spid="_x0000_s8384"/>
                </a:ext>
              </a:extLst>
            </xdr:cNvPicPr>
          </xdr:nvPicPr>
          <xdr:blipFill>
            <a:blip xmlns:r="http://schemas.openxmlformats.org/officeDocument/2006/relationships" r:embed="rId2"/>
            <a:srcRect/>
            <a:stretch>
              <a:fillRect/>
            </a:stretch>
          </xdr:blipFill>
          <xdr:spPr bwMode="auto">
            <a:xfrm>
              <a:off x="6972300" y="0"/>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18</xdr:row>
          <xdr:rowOff>9525</xdr:rowOff>
        </xdr:from>
        <xdr:to>
          <xdr:col>14</xdr:col>
          <xdr:colOff>28575</xdr:colOff>
          <xdr:row>25</xdr:row>
          <xdr:rowOff>85725</xdr:rowOff>
        </xdr:to>
        <xdr:pic>
          <xdr:nvPicPr>
            <xdr:cNvPr id="8289" name="Picture 97"/>
            <xdr:cNvPicPr>
              <a:picLocks noChangeAspect="1" noChangeArrowheads="1"/>
              <a:extLst>
                <a:ext uri="{84589F7E-364E-4C9E-8A38-B11213B215E9}">
                  <a14:cameraTool cellRange="Info!$M$163:$T$170" spid="_x0000_s8385"/>
                </a:ext>
              </a:extLst>
            </xdr:cNvPicPr>
          </xdr:nvPicPr>
          <xdr:blipFill>
            <a:blip xmlns:r="http://schemas.openxmlformats.org/officeDocument/2006/relationships" r:embed="rId3"/>
            <a:srcRect/>
            <a:stretch>
              <a:fillRect/>
            </a:stretch>
          </xdr:blipFill>
          <xdr:spPr bwMode="auto">
            <a:xfrm>
              <a:off x="6981825" y="3152775"/>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27</xdr:row>
          <xdr:rowOff>9525</xdr:rowOff>
        </xdr:from>
        <xdr:to>
          <xdr:col>14</xdr:col>
          <xdr:colOff>38100</xdr:colOff>
          <xdr:row>34</xdr:row>
          <xdr:rowOff>85725</xdr:rowOff>
        </xdr:to>
        <xdr:pic>
          <xdr:nvPicPr>
            <xdr:cNvPr id="8293" name="Picture 101"/>
            <xdr:cNvPicPr>
              <a:picLocks noChangeAspect="1" noChangeArrowheads="1"/>
              <a:extLst>
                <a:ext uri="{84589F7E-364E-4C9E-8A38-B11213B215E9}">
                  <a14:cameraTool cellRange="Info!$M$172:$T$179" spid="_x0000_s8386"/>
                </a:ext>
              </a:extLst>
            </xdr:cNvPicPr>
          </xdr:nvPicPr>
          <xdr:blipFill>
            <a:blip xmlns:r="http://schemas.openxmlformats.org/officeDocument/2006/relationships" r:embed="rId4"/>
            <a:srcRect/>
            <a:stretch>
              <a:fillRect/>
            </a:stretch>
          </xdr:blipFill>
          <xdr:spPr bwMode="auto">
            <a:xfrm>
              <a:off x="6991350" y="4610100"/>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xdr:col>
      <xdr:colOff>0</xdr:colOff>
      <xdr:row>1</xdr:row>
      <xdr:rowOff>0</xdr:rowOff>
    </xdr:from>
    <xdr:to>
      <xdr:col>2</xdr:col>
      <xdr:colOff>1187</xdr:colOff>
      <xdr:row>3</xdr:row>
      <xdr:rowOff>113592</xdr:rowOff>
    </xdr:to>
    <xdr:pic>
      <xdr:nvPicPr>
        <xdr:cNvPr id="2" name="Bilde 1"/>
        <xdr:cNvPicPr>
          <a:picLocks noChangeAspect="1"/>
        </xdr:cNvPicPr>
      </xdr:nvPicPr>
      <xdr:blipFill>
        <a:blip xmlns:r="http://schemas.openxmlformats.org/officeDocument/2006/relationships" r:embed="rId5"/>
        <a:stretch>
          <a:fillRect/>
        </a:stretch>
      </xdr:blipFill>
      <xdr:spPr>
        <a:xfrm>
          <a:off x="180975" y="161925"/>
          <a:ext cx="506012" cy="62794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7</xdr:row>
          <xdr:rowOff>0</xdr:rowOff>
        </xdr:from>
        <xdr:to>
          <xdr:col>14</xdr:col>
          <xdr:colOff>19050</xdr:colOff>
          <xdr:row>14</xdr:row>
          <xdr:rowOff>76200</xdr:rowOff>
        </xdr:to>
        <xdr:pic>
          <xdr:nvPicPr>
            <xdr:cNvPr id="9306" name="Picture 90"/>
            <xdr:cNvPicPr>
              <a:picLocks noChangeAspect="1" noChangeArrowheads="1"/>
              <a:extLst>
                <a:ext uri="{84589F7E-364E-4C9E-8A38-B11213B215E9}">
                  <a14:cameraTool cellRange="Info!$M$154:$T$161" spid="_x0000_s9402"/>
                </a:ext>
              </a:extLst>
            </xdr:cNvPicPr>
          </xdr:nvPicPr>
          <xdr:blipFill>
            <a:blip xmlns:r="http://schemas.openxmlformats.org/officeDocument/2006/relationships" r:embed="rId1"/>
            <a:srcRect/>
            <a:stretch>
              <a:fillRect/>
            </a:stretch>
          </xdr:blipFill>
          <xdr:spPr bwMode="auto">
            <a:xfrm>
              <a:off x="6972300" y="1362075"/>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0</xdr:row>
          <xdr:rowOff>0</xdr:rowOff>
        </xdr:from>
        <xdr:to>
          <xdr:col>14</xdr:col>
          <xdr:colOff>19050</xdr:colOff>
          <xdr:row>6</xdr:row>
          <xdr:rowOff>9525</xdr:rowOff>
        </xdr:to>
        <xdr:pic>
          <xdr:nvPicPr>
            <xdr:cNvPr id="9307" name="Picture 91"/>
            <xdr:cNvPicPr>
              <a:picLocks noChangeAspect="1" noChangeArrowheads="1"/>
              <a:extLst>
                <a:ext uri="{84589F7E-364E-4C9E-8A38-B11213B215E9}">
                  <a14:cameraTool cellRange="Info!$M$163:$T$170" spid="_x0000_s9403"/>
                </a:ext>
              </a:extLst>
            </xdr:cNvPicPr>
          </xdr:nvPicPr>
          <xdr:blipFill>
            <a:blip xmlns:r="http://schemas.openxmlformats.org/officeDocument/2006/relationships" r:embed="rId2"/>
            <a:srcRect/>
            <a:stretch>
              <a:fillRect/>
            </a:stretch>
          </xdr:blipFill>
          <xdr:spPr bwMode="auto">
            <a:xfrm>
              <a:off x="6972300" y="0"/>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18</xdr:row>
          <xdr:rowOff>9525</xdr:rowOff>
        </xdr:from>
        <xdr:to>
          <xdr:col>14</xdr:col>
          <xdr:colOff>28575</xdr:colOff>
          <xdr:row>25</xdr:row>
          <xdr:rowOff>85725</xdr:rowOff>
        </xdr:to>
        <xdr:pic>
          <xdr:nvPicPr>
            <xdr:cNvPr id="9308" name="Picture 92"/>
            <xdr:cNvPicPr>
              <a:picLocks noChangeAspect="1" noChangeArrowheads="1"/>
              <a:extLst>
                <a:ext uri="{84589F7E-364E-4C9E-8A38-B11213B215E9}">
                  <a14:cameraTool cellRange="Info!$M$172:$T$179" spid="_x0000_s9404"/>
                </a:ext>
              </a:extLst>
            </xdr:cNvPicPr>
          </xdr:nvPicPr>
          <xdr:blipFill>
            <a:blip xmlns:r="http://schemas.openxmlformats.org/officeDocument/2006/relationships" r:embed="rId3"/>
            <a:srcRect/>
            <a:stretch>
              <a:fillRect/>
            </a:stretch>
          </xdr:blipFill>
          <xdr:spPr bwMode="auto">
            <a:xfrm>
              <a:off x="6981825" y="3152775"/>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27</xdr:row>
          <xdr:rowOff>9525</xdr:rowOff>
        </xdr:from>
        <xdr:to>
          <xdr:col>14</xdr:col>
          <xdr:colOff>38100</xdr:colOff>
          <xdr:row>34</xdr:row>
          <xdr:rowOff>85725</xdr:rowOff>
        </xdr:to>
        <xdr:pic>
          <xdr:nvPicPr>
            <xdr:cNvPr id="9312" name="Picture 96"/>
            <xdr:cNvPicPr>
              <a:picLocks noChangeAspect="1" noChangeArrowheads="1"/>
              <a:extLst>
                <a:ext uri="{84589F7E-364E-4C9E-8A38-B11213B215E9}">
                  <a14:cameraTool cellRange="Info!$M$181:$T$188" spid="_x0000_s9405"/>
                </a:ext>
              </a:extLst>
            </xdr:cNvPicPr>
          </xdr:nvPicPr>
          <xdr:blipFill>
            <a:blip xmlns:r="http://schemas.openxmlformats.org/officeDocument/2006/relationships" r:embed="rId4"/>
            <a:srcRect/>
            <a:stretch>
              <a:fillRect/>
            </a:stretch>
          </xdr:blipFill>
          <xdr:spPr bwMode="auto">
            <a:xfrm>
              <a:off x="6991350" y="4610100"/>
              <a:ext cx="1371600" cy="120967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xdr:col>
      <xdr:colOff>0</xdr:colOff>
      <xdr:row>1</xdr:row>
      <xdr:rowOff>0</xdr:rowOff>
    </xdr:from>
    <xdr:to>
      <xdr:col>2</xdr:col>
      <xdr:colOff>1187</xdr:colOff>
      <xdr:row>3</xdr:row>
      <xdr:rowOff>113592</xdr:rowOff>
    </xdr:to>
    <xdr:pic>
      <xdr:nvPicPr>
        <xdr:cNvPr id="2" name="Bilde 1"/>
        <xdr:cNvPicPr>
          <a:picLocks noChangeAspect="1"/>
        </xdr:cNvPicPr>
      </xdr:nvPicPr>
      <xdr:blipFill>
        <a:blip xmlns:r="http://schemas.openxmlformats.org/officeDocument/2006/relationships" r:embed="rId5"/>
        <a:stretch>
          <a:fillRect/>
        </a:stretch>
      </xdr:blipFill>
      <xdr:spPr>
        <a:xfrm>
          <a:off x="180975" y="161925"/>
          <a:ext cx="506012" cy="6279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eikg/Skrivebord/R&#229;dmann/IT/Fleksi/excel/ExcelCalendarTemplate_v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alendar"/>
      <sheetName val="Settings"/>
    </sheetNames>
    <sheetDataSet>
      <sheetData sheetId="0"/>
      <sheetData sheetId="1">
        <row r="3">
          <cell r="F3">
            <v>2010</v>
          </cell>
        </row>
      </sheetData>
      <sheetData sheetId="2"/>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9.xml"/><Relationship Id="rId1" Type="http://schemas.openxmlformats.org/officeDocument/2006/relationships/printerSettings" Target="../printerSettings/printerSettings10.bin"/><Relationship Id="rId5" Type="http://schemas.openxmlformats.org/officeDocument/2006/relationships/comments" Target="../comments10.xml"/><Relationship Id="rId4" Type="http://schemas.openxmlformats.org/officeDocument/2006/relationships/vmlDrawing" Target="../drawings/vmlDrawing19.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0.xml"/><Relationship Id="rId1" Type="http://schemas.openxmlformats.org/officeDocument/2006/relationships/printerSettings" Target="../printerSettings/printerSettings11.bin"/><Relationship Id="rId5" Type="http://schemas.openxmlformats.org/officeDocument/2006/relationships/comments" Target="../comments11.xml"/><Relationship Id="rId4" Type="http://schemas.openxmlformats.org/officeDocument/2006/relationships/vmlDrawing" Target="../drawings/vmlDrawing21.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11.xml"/><Relationship Id="rId1" Type="http://schemas.openxmlformats.org/officeDocument/2006/relationships/printerSettings" Target="../printerSettings/printerSettings12.bin"/><Relationship Id="rId5" Type="http://schemas.openxmlformats.org/officeDocument/2006/relationships/comments" Target="../comments12.xml"/><Relationship Id="rId4" Type="http://schemas.openxmlformats.org/officeDocument/2006/relationships/vmlDrawing" Target="../drawings/vmlDrawing23.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12.xml"/><Relationship Id="rId1" Type="http://schemas.openxmlformats.org/officeDocument/2006/relationships/printerSettings" Target="../printerSettings/printerSettings13.bin"/><Relationship Id="rId5" Type="http://schemas.openxmlformats.org/officeDocument/2006/relationships/comments" Target="../comments13.xml"/><Relationship Id="rId4" Type="http://schemas.openxmlformats.org/officeDocument/2006/relationships/vmlDrawing" Target="../drawings/vmlDrawing25.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13.xml"/><Relationship Id="rId1" Type="http://schemas.openxmlformats.org/officeDocument/2006/relationships/printerSettings" Target="../printerSettings/printerSettings14.bin"/><Relationship Id="rId5" Type="http://schemas.openxmlformats.org/officeDocument/2006/relationships/comments" Target="../comments14.xml"/><Relationship Id="rId4" Type="http://schemas.openxmlformats.org/officeDocument/2006/relationships/vmlDrawing" Target="../drawings/vmlDrawing27.v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vmlDrawing" Target="../drawings/vmlDrawing29.v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vmlDrawing" Target="../drawings/vmlDrawing30.v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vmlDrawing" Target="../drawings/vmlDrawing5.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4.xml"/><Relationship Id="rId4" Type="http://schemas.openxmlformats.org/officeDocument/2006/relationships/vmlDrawing" Target="../drawings/vmlDrawing7.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omments" Target="../comments5.xml"/><Relationship Id="rId4" Type="http://schemas.openxmlformats.org/officeDocument/2006/relationships/vmlDrawing" Target="../drawings/vmlDrawing9.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omments" Target="../comments6.xml"/><Relationship Id="rId4" Type="http://schemas.openxmlformats.org/officeDocument/2006/relationships/vmlDrawing" Target="../drawings/vmlDrawing11.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omments" Target="../comments7.xml"/><Relationship Id="rId4" Type="http://schemas.openxmlformats.org/officeDocument/2006/relationships/vmlDrawing" Target="../drawings/vmlDrawing13.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7.xml"/><Relationship Id="rId1" Type="http://schemas.openxmlformats.org/officeDocument/2006/relationships/printerSettings" Target="../printerSettings/printerSettings8.bin"/><Relationship Id="rId5" Type="http://schemas.openxmlformats.org/officeDocument/2006/relationships/comments" Target="../comments8.xml"/><Relationship Id="rId4" Type="http://schemas.openxmlformats.org/officeDocument/2006/relationships/vmlDrawing" Target="../drawings/vmlDrawing15.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8.xml"/><Relationship Id="rId1" Type="http://schemas.openxmlformats.org/officeDocument/2006/relationships/printerSettings" Target="../printerSettings/printerSettings9.bin"/><Relationship Id="rId5" Type="http://schemas.openxmlformats.org/officeDocument/2006/relationships/comments" Target="../comments9.xml"/><Relationship Id="rId4" Type="http://schemas.openxmlformats.org/officeDocument/2006/relationships/vmlDrawing" Target="../drawings/vmlDrawing1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enableFormatConditionsCalculation="0">
    <tabColor indexed="22"/>
  </sheetPr>
  <dimension ref="A1:AZ224"/>
  <sheetViews>
    <sheetView showGridLines="0" workbookViewId="0">
      <selection activeCell="E1" sqref="E1:E2"/>
    </sheetView>
  </sheetViews>
  <sheetFormatPr baseColWidth="10" defaultColWidth="11.5703125" defaultRowHeight="12.75" x14ac:dyDescent="0.2"/>
  <cols>
    <col min="1" max="1" width="4.5703125" customWidth="1"/>
    <col min="2" max="2" width="10.140625" customWidth="1"/>
    <col min="3" max="3" width="25.5703125" customWidth="1"/>
    <col min="4" max="4" width="2.7109375" customWidth="1"/>
    <col min="5" max="5" width="21.85546875" customWidth="1"/>
    <col min="6" max="6" width="10.42578125" customWidth="1"/>
    <col min="7" max="7" width="11.28515625" customWidth="1"/>
    <col min="8" max="9" width="10" customWidth="1"/>
    <col min="10" max="10" width="9.5703125" customWidth="1"/>
    <col min="11" max="11" width="13.140625" customWidth="1"/>
    <col min="12" max="12" width="11.5703125" style="258" customWidth="1"/>
    <col min="13" max="13" width="3" customWidth="1"/>
    <col min="14" max="20" width="2.7109375" customWidth="1"/>
    <col min="21" max="26" width="11.5703125" customWidth="1"/>
    <col min="27" max="52" width="11.5703125" hidden="1" customWidth="1"/>
  </cols>
  <sheetData>
    <row r="1" spans="1:42" ht="18" customHeight="1" x14ac:dyDescent="0.2">
      <c r="A1" s="11"/>
      <c r="B1" s="436" t="str">
        <f>C41</f>
        <v>Fleksitid</v>
      </c>
      <c r="C1" s="437"/>
      <c r="D1" s="432" t="s">
        <v>150</v>
      </c>
      <c r="E1" s="434">
        <v>2014</v>
      </c>
      <c r="F1" s="11"/>
      <c r="G1" s="11"/>
      <c r="H1" s="11"/>
      <c r="I1" s="11"/>
      <c r="J1" s="11"/>
    </row>
    <row r="2" spans="1:42" s="21" customFormat="1" ht="12.75" customHeight="1" x14ac:dyDescent="0.2">
      <c r="A2" s="220"/>
      <c r="B2" s="437"/>
      <c r="C2" s="437"/>
      <c r="D2" s="433"/>
      <c r="E2" s="435"/>
      <c r="F2" s="219"/>
      <c r="G2" s="219"/>
      <c r="H2" s="219"/>
      <c r="I2" s="219"/>
      <c r="J2" s="219"/>
      <c r="L2" s="258"/>
    </row>
    <row r="3" spans="1:42" ht="15" x14ac:dyDescent="0.25">
      <c r="A3" s="225"/>
      <c r="B3" s="225"/>
      <c r="C3" s="225"/>
      <c r="D3" s="225"/>
      <c r="E3" s="440"/>
      <c r="F3" s="440"/>
      <c r="G3" s="225"/>
      <c r="H3" s="440" t="s">
        <v>87</v>
      </c>
      <c r="I3" s="440"/>
      <c r="J3" s="153">
        <f>E1</f>
        <v>2014</v>
      </c>
    </row>
    <row r="4" spans="1:42" ht="15.75" x14ac:dyDescent="0.25">
      <c r="A4" s="223" t="s">
        <v>38</v>
      </c>
      <c r="E4" s="224" t="s">
        <v>28</v>
      </c>
      <c r="F4" s="77" t="str">
        <f>"fra "&amp;E1-1</f>
        <v>fra 2013</v>
      </c>
      <c r="H4" s="62" t="str">
        <f>"ved sykdom i "&amp;E1-1</f>
        <v>ved sykdom i 2013</v>
      </c>
      <c r="J4" s="150" t="str">
        <f>Jan!$H$49</f>
        <v/>
      </c>
      <c r="AA4" s="62" t="s">
        <v>84</v>
      </c>
      <c r="AB4" t="s">
        <v>90</v>
      </c>
    </row>
    <row r="5" spans="1:42" x14ac:dyDescent="0.2">
      <c r="A5" s="23" t="s">
        <v>5</v>
      </c>
      <c r="B5" s="24"/>
      <c r="C5" s="53"/>
      <c r="E5" s="23" t="s">
        <v>29</v>
      </c>
      <c r="F5" s="56">
        <v>0</v>
      </c>
      <c r="G5" s="1" t="s">
        <v>31</v>
      </c>
      <c r="H5" s="24" t="s">
        <v>11</v>
      </c>
      <c r="I5" s="57"/>
      <c r="J5" s="150" t="str">
        <f>Feb!$H$47</f>
        <v/>
      </c>
      <c r="AA5" s="62"/>
    </row>
    <row r="6" spans="1:42" x14ac:dyDescent="0.2">
      <c r="A6" s="23" t="s">
        <v>30</v>
      </c>
      <c r="B6" s="24"/>
      <c r="C6" s="54"/>
      <c r="E6" s="23" t="s">
        <v>86</v>
      </c>
      <c r="F6" s="56">
        <v>0</v>
      </c>
      <c r="G6" s="1" t="s">
        <v>32</v>
      </c>
      <c r="H6" s="24" t="s">
        <v>12</v>
      </c>
      <c r="I6" s="57"/>
      <c r="J6" s="150" t="str">
        <f>Mar!$H$49</f>
        <v/>
      </c>
      <c r="AA6" s="71">
        <f>E1</f>
        <v>2014</v>
      </c>
      <c r="AB6" t="s">
        <v>10</v>
      </c>
      <c r="AC6" t="s">
        <v>11</v>
      </c>
      <c r="AD6" t="s">
        <v>12</v>
      </c>
      <c r="AE6" t="s">
        <v>13</v>
      </c>
      <c r="AF6" t="s">
        <v>14</v>
      </c>
      <c r="AG6" t="s">
        <v>15</v>
      </c>
      <c r="AH6" t="s">
        <v>16</v>
      </c>
      <c r="AI6" t="s">
        <v>17</v>
      </c>
      <c r="AJ6" t="s">
        <v>18</v>
      </c>
      <c r="AK6" t="s">
        <v>7</v>
      </c>
      <c r="AL6" t="s">
        <v>8</v>
      </c>
      <c r="AM6" t="s">
        <v>9</v>
      </c>
    </row>
    <row r="7" spans="1:42" x14ac:dyDescent="0.2">
      <c r="A7" s="23" t="s">
        <v>27</v>
      </c>
      <c r="B7" s="24"/>
      <c r="C7" s="55">
        <v>1</v>
      </c>
      <c r="E7" s="23" t="s">
        <v>39</v>
      </c>
      <c r="F7" s="57"/>
      <c r="G7" t="s">
        <v>32</v>
      </c>
      <c r="H7" s="24" t="s">
        <v>13</v>
      </c>
      <c r="I7" s="57"/>
      <c r="J7" s="150" t="str">
        <f>Apr!$H$48</f>
        <v/>
      </c>
      <c r="AA7" s="70">
        <f>DATE(E1,1,1)</f>
        <v>41640</v>
      </c>
      <c r="AB7" s="72" t="str">
        <f>"1. nyttårsdag"&amp;IF(VLOOKUP(DATE($E$1,1,DAY($AA7)),Info!$AO$19:$AO$30,1)=DATE($E$1,1,DAY($AA7)),VLOOKUP(DATE($E$1,1,DAY($AA7)),Info!$AO$19:$AP$30,2,),"")</f>
        <v>1. nyttårsdag</v>
      </c>
      <c r="AC7" s="72" t="str">
        <f>IF(VLOOKUP(DATE($E$1,2,DAY($AA7)),Info!$AO$19:$AO$30,1)=DATE($E$1,2,DAY($AA7)),VLOOKUP(DATE($E$1,2,DAY($AA7)),Info!$AO$19:$AP$30,2,),"")</f>
        <v/>
      </c>
      <c r="AD7" s="72" t="str">
        <f>IF(VLOOKUP(DATE($E$1,3,DAY($AA7)),Info!$AO$7:$AO$17,1)=DATE($E$1,3,DAY($AA7)),VLOOKUP(DATE($E$1,3,DAY($AA7)),Info!$AO$7:$AP$17,2,),"")&amp;IF(VLOOKUP(DATE($E$1,3,DAY($AA7)),Info!$AO$19:$AO$30,1)=DATE($E$1,3,DAY($AA7)),VLOOKUP(DATE($E$1,3,DAY($AA7)),Info!$AO$19:$AP$30,2,),"")</f>
        <v/>
      </c>
      <c r="AE7" s="72" t="str">
        <f>IF(VLOOKUP(DATE($E$1,4,DAY($AA7)),Info!$AO$7:$AO$17,1)=DATE($E$1,4,DAY($AA7)),VLOOKUP(DATE($E$1,4,DAY($AA7)),Info!$AO$7:$AP$17,2,),"")&amp;IF(VLOOKUP(DATE($E$1,4,DAY($AA7)),Info!$AO$19:$AO$30,1)=DATE($E$1,4,DAY($AA7)),VLOOKUP(DATE($E$1,4,DAY($AA7)),Info!$AO$19:$AP$30,2,),"")</f>
        <v/>
      </c>
      <c r="AF7" s="72" t="str">
        <f>"Arbeidernes dag"&amp;IF(VLOOKUP(DATE($E$1,5,DAY($AA7)),Info!$AO$7:$AO$17,1)=DATE($E$1,5,DAY($AA7))," · "&amp;VLOOKUP(DATE($E$1,5,DAY($AA7)),Info!$AO$7:$AP$17,2,),"")&amp;IF(VLOOKUP(DATE($E$1,5,DAY($AA7)),Info!$AO$19:$AO$30,1)=DATE($E$1,5,DAY($AA7)),VLOOKUP(DATE($E$1,5,DAY($AA7)),Info!$AO$19:$AP$30,2,),"")</f>
        <v>Arbeidernes dag</v>
      </c>
      <c r="AG7" s="72" t="str">
        <f>IF(VLOOKUP(DATE($E$1,6,DAY($AA7)),Info!$AO$7:$AO$17,1)=DATE($E$1,6,DAY($AA7)),VLOOKUP(DATE($E$1,6,DAY($AA7)),Info!$AO$7:$AP$17,2,),"")&amp;IF(VLOOKUP(DATE($E$1,6,DAY($AA7)),Info!$AO$19:$AO$30,1)=DATE($E$1,6,DAY($AA7)),VLOOKUP(DATE($E$1,6,DAY($AA7)),Info!$AO$19:$AP$30,2,),"")</f>
        <v/>
      </c>
      <c r="AH7" s="72" t="str">
        <f>IF(VLOOKUP(DATE($E$1,7,DAY($AA7)),Info!$AO$19:$AO$30,1)=DATE($E$1,7,DAY($AA7)),VLOOKUP(DATE($E$1,7,DAY($AA7)),Info!$AO$19:$AP$30,2,),"")</f>
        <v/>
      </c>
      <c r="AI7" s="72" t="str">
        <f>IF(VLOOKUP(DATE($E$1,8,DAY($AA7)),Info!$AO$19:$AO$30,1)=DATE($E$1,8,DAY($AA7)),VLOOKUP(DATE($E$1,8,DAY($AA7)),Info!$AO$19:$AP$30,2,),"")</f>
        <v/>
      </c>
      <c r="AJ7" s="72" t="str">
        <f>IF(VLOOKUP(DATE($E$1,9,DAY($AA7)),Info!$AO$19:$AO$30,1)=DATE($E$1,9,DAY($AA7)),VLOOKUP(DATE($E$1,9,DAY($AA7)),Info!$AO$19:$AP$30,2,),"")</f>
        <v/>
      </c>
      <c r="AK7" s="72" t="str">
        <f>IF(VLOOKUP(DATE($E$1,10,DAY($AA7)),Info!$AO$19:$AO$30,1)=DATE($E$1,10,DAY($AA7)),VLOOKUP(DATE($E$1,10,DAY($AA7)),Info!$AO$19:$AP$30,2,),"")</f>
        <v/>
      </c>
      <c r="AL7" s="72" t="str">
        <f>IF(WEEKDAY(DATE($E$1,11,DAY(AA7)),1)=1,"Allhelgensdag","")&amp;IF(VLOOKUP(DATE($E$1,11,DAY($AA7)),Info!$AO$19:$AO$30,1)=DATE($E$1,11,DAY($AA7)),VLOOKUP(DATE($E$1,11,DAY($AA7)),Info!$AO$19:$AP$30,2,),"")</f>
        <v/>
      </c>
      <c r="AM7" s="72" t="str">
        <f>IF(VLOOKUP(DATE($E$1,12,DAY($AA7)),Info!$AO$19:$AO$30,1)=DATE($E$1,12,DAY($AA7)),VLOOKUP(DATE($E$1,12,DAY($AA7)),Info!$AO$19:$AP$30,2,),"")</f>
        <v/>
      </c>
      <c r="AN7" s="67"/>
      <c r="AO7" s="143">
        <v>1</v>
      </c>
      <c r="AP7" s="136" t="s">
        <v>126</v>
      </c>
    </row>
    <row r="8" spans="1:42" x14ac:dyDescent="0.2">
      <c r="H8" s="24" t="s">
        <v>14</v>
      </c>
      <c r="I8" s="57"/>
      <c r="J8" s="150" t="str">
        <f>Mai!$H$49</f>
        <v/>
      </c>
      <c r="AA8" s="70">
        <f>AA7+1</f>
        <v>41641</v>
      </c>
      <c r="AB8" s="72" t="str">
        <f>IF(VLOOKUP(DATE($E$1,1,DAY($AA8)),Info!$AO$19:$AO$30,1)=DATE($E$1,1,DAY($AA8)),VLOOKUP(DATE($E$1,1,DAY($AA8)),Info!$AO$19:$AP$30,2,),"")</f>
        <v/>
      </c>
      <c r="AC8" s="72" t="str">
        <f>IF(VLOOKUP(DATE($E$1,2,DAY($AA8)),Info!$AO$19:$AO$30,1)=DATE($E$1,2,DAY($AA8)),VLOOKUP(DATE($E$1,2,DAY($AA8)),Info!$AO$19:$AP$30,2,),"")</f>
        <v/>
      </c>
      <c r="AD8" s="72" t="str">
        <f>IF(VLOOKUP(DATE($E$1,3,DAY($AA8)),Info!$AO$7:$AO$17,1)=DATE($E$1,3,DAY($AA8)),VLOOKUP(DATE($E$1,3,DAY($AA8)),Info!$AO$7:$AP$17,2,),"")&amp;IF(VLOOKUP(DATE($E$1,3,DAY($AA8)),Info!$AO$19:$AO$30,1)=DATE($E$1,3,DAY($AA8)),VLOOKUP(DATE($E$1,3,DAY($AA8)),Info!$AO$19:$AP$30,2,),"")</f>
        <v>Fastelaven</v>
      </c>
      <c r="AE8" s="72" t="str">
        <f>IF(VLOOKUP(DATE($E$1,4,DAY($AA8)),Info!$AO$7:$AO$17,1)=DATE($E$1,4,DAY($AA8)),VLOOKUP(DATE($E$1,4,DAY($AA8)),Info!$AO$7:$AP$17,2,),"")&amp;IF(VLOOKUP(DATE($E$1,4,DAY($AA8)),Info!$AO$19:$AO$30,1)=DATE($E$1,4,DAY($AA8)),VLOOKUP(DATE($E$1,4,DAY($AA8)),Info!$AO$19:$AP$30,2,),"")</f>
        <v/>
      </c>
      <c r="AF8" s="72" t="str">
        <f>IF(VLOOKUP(DATE($E$1,5,DAY($AA8)),Info!$AO$7:$AO$17,1)=DATE($E$1,5,DAY($AA8)),VLOOKUP(DATE($E$1,5,DAY($AA8)),Info!$AO$7:$AP$17,2,),"")&amp;IF(VLOOKUP(DATE($E$1,5,DAY($AA8)),Info!$AO$19:$AO$30,1)=DATE($E$1,5,DAY($AA8)),VLOOKUP(DATE($E$1,5,DAY($AA8)),Info!$AO$19:$AP$30,2,),"")</f>
        <v/>
      </c>
      <c r="AG8" s="72" t="str">
        <f>IF(VLOOKUP(DATE($E$1,6,DAY($AA8)),Info!$AO$7:$AO$17,1)=DATE($E$1,6,DAY($AA8)),VLOOKUP(DATE($E$1,6,DAY($AA8)),Info!$AO$7:$AP$17,2,),"")&amp;IF(VLOOKUP(DATE($E$1,6,DAY($AA8)),Info!$AO$19:$AO$30,1)=DATE($E$1,6,DAY($AA8)),VLOOKUP(DATE($E$1,6,DAY($AA8)),Info!$AO$19:$AP$30,2,),"")</f>
        <v/>
      </c>
      <c r="AH8" s="72" t="str">
        <f>IF(VLOOKUP(DATE($E$1,7,DAY($AA8)),Info!$AO$19:$AO$30,1)=DATE($E$1,7,DAY($AA8)),VLOOKUP(DATE($E$1,7,DAY($AA8)),Info!$AO$19:$AP$30,2,),"")</f>
        <v/>
      </c>
      <c r="AI8" s="72" t="str">
        <f>IF(VLOOKUP(DATE($E$1,8,DAY($AA8)),Info!$AO$19:$AO$30,1)=DATE($E$1,8,DAY($AA8)),VLOOKUP(DATE($E$1,8,DAY($AA8)),Info!$AO$19:$AP$30,2,),"")</f>
        <v/>
      </c>
      <c r="AJ8" s="72" t="str">
        <f>IF(VLOOKUP(DATE($E$1,9,DAY($AA8)),Info!$AO$19:$AO$30,1)=DATE($E$1,9,DAY($AA8)),VLOOKUP(DATE($E$1,9,DAY($AA8)),Info!$AO$19:$AP$30,2,),"")</f>
        <v/>
      </c>
      <c r="AK8" s="72" t="str">
        <f>IF(VLOOKUP(DATE($E$1,10,DAY($AA8)),Info!$AO$19:$AO$30,1)=DATE($E$1,10,DAY($AA8)),VLOOKUP(DATE($E$1,10,DAY($AA8)),Info!$AO$19:$AP$30,2,),"")</f>
        <v/>
      </c>
      <c r="AL8" s="72" t="str">
        <f>IF(WEEKDAY(DATE($E$1,11,DAY(AA8)),1)=1,"Allhelgensdag","")&amp;IF(VLOOKUP(DATE($E$1,11,DAY($AA8)),Info!$AO$19:$AO$30,1)=DATE($E$1,11,DAY($AA8)),VLOOKUP(DATE($E$1,11,DAY($AA8)),Info!$AO$19:$AP$30,2,),"")</f>
        <v>Allhelgensdag</v>
      </c>
      <c r="AM8" s="72" t="str">
        <f>IF(VLOOKUP(DATE($E$1,12,DAY($AA8)),Info!$AO$19:$AO$30,1)=DATE($E$1,12,DAY($AA8)),VLOOKUP(DATE($E$1,12,DAY($AA8)),Info!$AO$19:$AP$30,2,),"")</f>
        <v/>
      </c>
      <c r="AN8" s="67"/>
      <c r="AO8" s="142">
        <f>Dager!C5</f>
        <v>41700</v>
      </c>
      <c r="AP8" s="136" t="s">
        <v>80</v>
      </c>
    </row>
    <row r="9" spans="1:42" x14ac:dyDescent="0.2">
      <c r="A9" s="438" t="s">
        <v>41</v>
      </c>
      <c r="B9" s="439"/>
      <c r="C9" s="439"/>
      <c r="D9" s="439"/>
      <c r="E9" s="439"/>
      <c r="F9" s="439"/>
      <c r="H9" s="24" t="s">
        <v>15</v>
      </c>
      <c r="I9" s="57"/>
      <c r="J9" s="150" t="str">
        <f>Juni!$H$48</f>
        <v/>
      </c>
      <c r="AA9" s="70">
        <f t="shared" ref="AA9:AA37" si="0">AA8+1</f>
        <v>41642</v>
      </c>
      <c r="AB9" s="72" t="str">
        <f>IF(VLOOKUP(DATE($E$1,1,DAY($AA9)),Info!$AO$19:$AO$30,1)=DATE($E$1,1,DAY($AA9)),VLOOKUP(DATE($E$1,1,DAY($AA9)),Info!$AO$19:$AP$30,2,),"")</f>
        <v/>
      </c>
      <c r="AC9" s="72" t="str">
        <f>IF(VLOOKUP(DATE($E$1,2,DAY($AA9)),Info!$AO$19:$AO$30,1)=DATE($E$1,2,DAY($AA9)),VLOOKUP(DATE($E$1,2,DAY($AA9)),Info!$AO$19:$AP$30,2,),"")</f>
        <v/>
      </c>
      <c r="AD9" s="72" t="str">
        <f>IF(VLOOKUP(DATE($E$1,3,DAY($AA9)),Info!$AO$7:$AO$17,1)=DATE($E$1,3,DAY($AA9)),VLOOKUP(DATE($E$1,3,DAY($AA9)),Info!$AO$7:$AP$17,2,),"")&amp;IF(VLOOKUP(DATE($E$1,3,DAY($AA9)),Info!$AO$19:$AO$30,1)=DATE($E$1,3,DAY($AA9)),VLOOKUP(DATE($E$1,3,DAY($AA9)),Info!$AO$19:$AP$30,2,),"")</f>
        <v/>
      </c>
      <c r="AE9" s="72" t="str">
        <f>IF(VLOOKUP(DATE($E$1,4,DAY($AA9)),Info!$AO$7:$AO$17,1)=DATE($E$1,4,DAY($AA9)),VLOOKUP(DATE($E$1,4,DAY($AA9)),Info!$AO$7:$AP$17,2,),"")&amp;IF(VLOOKUP(DATE($E$1,4,DAY($AA9)),Info!$AO$19:$AO$30,1)=DATE($E$1,4,DAY($AA9)),VLOOKUP(DATE($E$1,4,DAY($AA9)),Info!$AO$19:$AP$30,2,),"")</f>
        <v/>
      </c>
      <c r="AF9" s="72" t="str">
        <f>IF(VLOOKUP(DATE($E$1,5,DAY($AA9)),Info!$AO$7:$AO$17,1)=DATE($E$1,5,DAY($AA9)),VLOOKUP(DATE($E$1,5,DAY($AA9)),Info!$AO$7:$AP$17,2,),"")&amp;IF(VLOOKUP(DATE($E$1,5,DAY($AA9)),Info!$AO$19:$AO$30,1)=DATE($E$1,5,DAY($AA9)),VLOOKUP(DATE($E$1,5,DAY($AA9)),Info!$AO$19:$AP$30,2,),"")</f>
        <v/>
      </c>
      <c r="AG9" s="72" t="str">
        <f>IF(VLOOKUP(DATE($E$1,6,DAY($AA9)),Info!$AO$7:$AO$17,1)=DATE($E$1,6,DAY($AA9)),VLOOKUP(DATE($E$1,6,DAY($AA9)),Info!$AO$7:$AP$17,2,),"")&amp;IF(VLOOKUP(DATE($E$1,6,DAY($AA9)),Info!$AO$19:$AO$30,1)=DATE($E$1,6,DAY($AA9)),VLOOKUP(DATE($E$1,6,DAY($AA9)),Info!$AO$19:$AP$30,2,),"")</f>
        <v/>
      </c>
      <c r="AH9" s="72" t="str">
        <f>IF(VLOOKUP(DATE($E$1,7,DAY($AA9)),Info!$AO$19:$AO$30,1)=DATE($E$1,7,DAY($AA9)),VLOOKUP(DATE($E$1,7,DAY($AA9)),Info!$AO$19:$AP$30,2,),"")</f>
        <v/>
      </c>
      <c r="AI9" s="72" t="str">
        <f>IF(VLOOKUP(DATE($E$1,8,DAY($AA9)),Info!$AO$19:$AO$30,1)=DATE($E$1,8,DAY($AA9)),VLOOKUP(DATE($E$1,8,DAY($AA9)),Info!$AO$19:$AP$30,2,),"")</f>
        <v/>
      </c>
      <c r="AJ9" s="72" t="str">
        <f>IF(VLOOKUP(DATE($E$1,9,DAY($AA9)),Info!$AO$19:$AO$30,1)=DATE($E$1,9,DAY($AA9)),VLOOKUP(DATE($E$1,9,DAY($AA9)),Info!$AO$19:$AP$30,2,),"")</f>
        <v/>
      </c>
      <c r="AK9" s="72" t="str">
        <f>IF(VLOOKUP(DATE($E$1,10,DAY($AA9)),Info!$AO$19:$AO$30,1)=DATE($E$1,10,DAY($AA9)),VLOOKUP(DATE($E$1,10,DAY($AA9)),Info!$AO$19:$AP$30,2,),"")</f>
        <v/>
      </c>
      <c r="AL9" s="72" t="str">
        <f>IF(WEEKDAY(DATE($E$1,11,DAY(AA9)),1)=1,"Allhelgensdag","")&amp;IF(VLOOKUP(DATE($E$1,11,DAY($AA9)),Info!$AO$19:$AO$30,1)=DATE($E$1,11,DAY($AA9)),VLOOKUP(DATE($E$1,11,DAY($AA9)),Info!$AO$19:$AP$30,2,),"")</f>
        <v/>
      </c>
      <c r="AM9" s="72" t="str">
        <f>IF(VLOOKUP(DATE($E$1,12,DAY($AA9)),Info!$AO$19:$AO$30,1)=DATE($E$1,12,DAY($AA9)),VLOOKUP(DATE($E$1,12,DAY($AA9)),Info!$AO$19:$AP$30,2,),"")</f>
        <v/>
      </c>
      <c r="AN9" s="67"/>
      <c r="AO9" s="143">
        <f>Dager!C6</f>
        <v>41742</v>
      </c>
      <c r="AP9" s="72" t="s">
        <v>52</v>
      </c>
    </row>
    <row r="10" spans="1:42" x14ac:dyDescent="0.2">
      <c r="A10" s="27" t="str">
        <f>IF(C7&lt;100%,"Snitt "&amp;IF(C47="Ja","n","a"),IF(C47="Ja","N","A"))&amp;IF(C47="Ja","ormal","rbeids")&amp;"dag:"</f>
        <v>Normaldag:</v>
      </c>
      <c r="B10" s="28"/>
      <c r="C10" s="291">
        <f>TIME(,D10,)</f>
        <v>0.32291666666666669</v>
      </c>
      <c r="D10" s="287">
        <f>ROUND(C42*C7,0)</f>
        <v>465</v>
      </c>
      <c r="E10" s="294" t="str">
        <f>"Uke:"</f>
        <v>Uke:</v>
      </c>
      <c r="F10" s="293" t="str">
        <f>TRUNC(D10*5/60)&amp;" t "&amp;MOD(D10*5,60)&amp;" m"</f>
        <v>38 t 45 m</v>
      </c>
      <c r="H10" s="24" t="s">
        <v>16</v>
      </c>
      <c r="I10" s="57"/>
      <c r="J10" s="150" t="str">
        <f>Juli!$H$49</f>
        <v/>
      </c>
      <c r="AA10" s="70">
        <f t="shared" si="0"/>
        <v>41643</v>
      </c>
      <c r="AB10" s="72" t="str">
        <f>IF(VLOOKUP(DATE($E$1,1,DAY($AA10)),Info!$AO$19:$AO$30,1)=DATE($E$1,1,DAY($AA10)),VLOOKUP(DATE($E$1,1,DAY($AA10)),Info!$AO$19:$AP$30,2,),"")</f>
        <v/>
      </c>
      <c r="AC10" s="72" t="str">
        <f>IF(VLOOKUP(DATE($E$1,2,DAY($AA10)),Info!$AO$19:$AO$30,1)=DATE($E$1,2,DAY($AA10)),VLOOKUP(DATE($E$1,2,DAY($AA10)),Info!$AO$19:$AP$30,2,),"")</f>
        <v/>
      </c>
      <c r="AD10" s="72" t="str">
        <f>IF(VLOOKUP(DATE($E$1,3,DAY($AA10)),Info!$AO$7:$AO$17,1)=DATE($E$1,3,DAY($AA10)),VLOOKUP(DATE($E$1,3,DAY($AA10)),Info!$AO$7:$AP$17,2,),"")&amp;IF(VLOOKUP(DATE($E$1,3,DAY($AA10)),Info!$AO$19:$AO$30,1)=DATE($E$1,3,DAY($AA10)),VLOOKUP(DATE($E$1,3,DAY($AA10)),Info!$AO$19:$AP$30,2,),"")</f>
        <v/>
      </c>
      <c r="AE10" s="72" t="str">
        <f>IF(VLOOKUP(DATE($E$1,4,DAY($AA10)),Info!$AO$7:$AO$17,1)=DATE($E$1,4,DAY($AA10)),VLOOKUP(DATE($E$1,4,DAY($AA10)),Info!$AO$7:$AP$17,2,),"")&amp;IF(VLOOKUP(DATE($E$1,4,DAY($AA10)),Info!$AO$19:$AO$30,1)=DATE($E$1,4,DAY($AA10)),VLOOKUP(DATE($E$1,4,DAY($AA10)),Info!$AO$19:$AP$30,2,),"")</f>
        <v/>
      </c>
      <c r="AF10" s="72" t="str">
        <f>IF(VLOOKUP(DATE($E$1,5,DAY($AA10)),Info!$AO$7:$AO$17,1)=DATE($E$1,5,DAY($AA10)),VLOOKUP(DATE($E$1,5,DAY($AA10)),Info!$AO$7:$AP$17,2,),"")&amp;IF(VLOOKUP(DATE($E$1,5,DAY($AA10)),Info!$AO$19:$AO$30,1)=DATE($E$1,5,DAY($AA10)),VLOOKUP(DATE($E$1,5,DAY($AA10)),Info!$AO$19:$AP$30,2,),"")</f>
        <v/>
      </c>
      <c r="AG10" s="72" t="str">
        <f>IF(VLOOKUP(DATE($E$1,6,DAY($AA10)),Info!$AO$7:$AO$17,1)=DATE($E$1,6,DAY($AA10)),VLOOKUP(DATE($E$1,6,DAY($AA10)),Info!$AO$7:$AP$17,2,),"")&amp;IF(VLOOKUP(DATE($E$1,6,DAY($AA10)),Info!$AO$19:$AO$30,1)=DATE($E$1,6,DAY($AA10)),VLOOKUP(DATE($E$1,6,DAY($AA10)),Info!$AO$19:$AP$30,2,),"")</f>
        <v/>
      </c>
      <c r="AH10" s="72" t="str">
        <f>"Sonja "&amp; E1-1937&amp;IF(VLOOKUP(DATE($E$1,7,DAY($AA10)),Info!$AO$19:$AO$30,1)=DATE($E$1,7,DAY($AA10)),VLOOKUP(DATE($E$1,7,DAY($AA10)),Info!$AO$19:$AP$30,2,),"")</f>
        <v>Sonja 77</v>
      </c>
      <c r="AI10" s="72" t="str">
        <f>IF(VLOOKUP(DATE($E$1,8,DAY($AA10)),Info!$AO$19:$AO$30,1)=DATE($E$1,8,DAY($AA10)),VLOOKUP(DATE($E$1,8,DAY($AA10)),Info!$AO$19:$AP$30,2,),"")</f>
        <v/>
      </c>
      <c r="AJ10" s="72" t="str">
        <f>IF(VLOOKUP(DATE($E$1,9,DAY($AA10)),Info!$AO$19:$AO$30,1)=DATE($E$1,9,DAY($AA10)),VLOOKUP(DATE($E$1,9,DAY($AA10)),Info!$AO$19:$AP$30,2,),"")</f>
        <v/>
      </c>
      <c r="AK10" s="72" t="str">
        <f>IF(VLOOKUP(DATE($E$1,10,DAY($AA10)),Info!$AO$19:$AO$30,1)=DATE($E$1,10,DAY($AA10)),VLOOKUP(DATE($E$1,10,DAY($AA10)),Info!$AO$19:$AP$30,2,),"")</f>
        <v/>
      </c>
      <c r="AL10" s="72" t="str">
        <f>IF(WEEKDAY(DATE($E$1,11,DAY(AA10)),1)=1,"Allhelgensdag","")&amp;IF(VLOOKUP(DATE($E$1,11,DAY($AA10)),Info!$AO$19:$AO$30,1)=DATE($E$1,11,DAY($AA10)),VLOOKUP(DATE($E$1,11,DAY($AA10)),Info!$AO$19:$AP$30,2,),"")</f>
        <v/>
      </c>
      <c r="AM10" s="72" t="str">
        <f>IF(VLOOKUP(DATE($E$1,12,DAY($AA10)),Info!$AO$19:$AO$30,1)=DATE($E$1,12,DAY($AA10)),VLOOKUP(DATE($E$1,12,DAY($AA10)),Info!$AO$19:$AP$30,2,),"")</f>
        <v/>
      </c>
      <c r="AN10" s="67"/>
      <c r="AO10" s="143">
        <f>Dager!C7-4</f>
        <v>41745</v>
      </c>
      <c r="AP10" s="72" t="s">
        <v>125</v>
      </c>
    </row>
    <row r="11" spans="1:42" x14ac:dyDescent="0.2">
      <c r="A11" s="13" t="str">
        <f>IF(C7&lt;100%,"Snitt s","S")&amp;IF(C47="Ja","ommertid","")&amp;":"</f>
        <v>Sommertid:</v>
      </c>
      <c r="B11" s="1"/>
      <c r="C11" s="291">
        <f>TIME(,D11,)</f>
        <v>0.30208333333333331</v>
      </c>
      <c r="D11" s="61">
        <f>ROUND(C43*C7,0)</f>
        <v>435</v>
      </c>
      <c r="E11" s="295" t="str">
        <f>"Uke:"</f>
        <v>Uke:</v>
      </c>
      <c r="F11" s="293" t="str">
        <f>TRUNC(D11*5/60)&amp;" t "&amp;MOD(D11*5,60)&amp;" m"</f>
        <v>36 t 15 m</v>
      </c>
      <c r="H11" s="24" t="s">
        <v>17</v>
      </c>
      <c r="I11" s="57"/>
      <c r="J11" s="150" t="str">
        <f>Aug!$H$49</f>
        <v/>
      </c>
      <c r="AA11" s="70">
        <f t="shared" si="0"/>
        <v>41644</v>
      </c>
      <c r="AB11" s="72" t="str">
        <f>IF(VLOOKUP(DATE($E$1,1,DAY($AA11)),Info!$AO$19:$AO$30,1)=DATE($E$1,1,DAY($AA11)),VLOOKUP(DATE($E$1,1,DAY($AA11)),Info!$AO$19:$AP$30,2,),"")</f>
        <v/>
      </c>
      <c r="AC11" s="72" t="str">
        <f>IF(VLOOKUP(DATE($E$1,2,DAY($AA11)),Info!$AO$19:$AO$30,1)=DATE($E$1,2,DAY($AA11)),VLOOKUP(DATE($E$1,2,DAY($AA11)),Info!$AO$19:$AP$30,2,),"")</f>
        <v/>
      </c>
      <c r="AD11" s="72" t="str">
        <f>IF(VLOOKUP(DATE($E$1,3,DAY($AA11)),Info!$AO$7:$AO$17,1)=DATE($E$1,3,DAY($AA11)),VLOOKUP(DATE($E$1,3,DAY($AA11)),Info!$AO$7:$AP$17,2,),"")&amp;IF(VLOOKUP(DATE($E$1,3,DAY($AA11)),Info!$AO$19:$AO$30,1)=DATE($E$1,3,DAY($AA11)),VLOOKUP(DATE($E$1,3,DAY($AA11)),Info!$AO$19:$AP$30,2,),"")</f>
        <v/>
      </c>
      <c r="AE11" s="72" t="str">
        <f>IF(VLOOKUP(DATE($E$1,4,DAY($AA11)),Info!$AO$7:$AO$17,1)=DATE($E$1,4,DAY($AA11)),VLOOKUP(DATE($E$1,4,DAY($AA11)),Info!$AO$7:$AP$17,2,),"")&amp;IF(VLOOKUP(DATE($E$1,4,DAY($AA11)),Info!$AO$19:$AO$30,1)=DATE($E$1,4,DAY($AA11)),VLOOKUP(DATE($E$1,4,DAY($AA11)),Info!$AO$19:$AP$30,2,),"")</f>
        <v/>
      </c>
      <c r="AF11" s="72" t="str">
        <f>IF(VLOOKUP(DATE($E$1,5,DAY($AA11)),Info!$AO$7:$AO$17,1)=DATE($E$1,5,DAY($AA11)),VLOOKUP(DATE($E$1,5,DAY($AA11)),Info!$AO$7:$AP$17,2,),"")&amp;IF(VLOOKUP(DATE($E$1,5,DAY($AA11)),Info!$AO$19:$AO$30,1)=DATE($E$1,5,DAY($AA11)),VLOOKUP(DATE($E$1,5,DAY($AA11)),Info!$AO$19:$AP$30,2,),"")</f>
        <v/>
      </c>
      <c r="AG11" s="72" t="str">
        <f>"Nasjonaldag Danmark"&amp;IF(VLOOKUP(DATE($E$1,6,DAY($AA11)),Info!$AO$7:$AO$17,1)=DATE($E$1,6,DAY($AA11)),VLOOKUP(DATE($E$1,6,DAY($AA11)),Info!$AO$7:$AP$17,2,),"")&amp;IF(VLOOKUP(DATE($E$1,6,DAY($AA11)),Info!$AO$19:$AO$30,1)=DATE($E$1,6,DAY($AA11)),VLOOKUP(DATE($E$1,6,DAY($AA11)),Info!$AO$19:$AP$30,2,),"")</f>
        <v>Nasjonaldag Danmark</v>
      </c>
      <c r="AH11" s="72" t="str">
        <f>IF(VLOOKUP(DATE($E$1,7,DAY($AA11)),Info!$AO$19:$AO$30,1)=DATE($E$1,7,DAY($AA11)),VLOOKUP(DATE($E$1,7,DAY($AA11)),Info!$AO$19:$AP$30,2,),"")</f>
        <v/>
      </c>
      <c r="AI11" s="72" t="str">
        <f>IF(VLOOKUP(DATE($E$1,8,DAY($AA11)),Info!$AO$19:$AO$30,1)=DATE($E$1,8,DAY($AA11)),VLOOKUP(DATE($E$1,8,DAY($AA11)),Info!$AO$19:$AP$30,2,),"")</f>
        <v/>
      </c>
      <c r="AJ11" s="72" t="str">
        <f>IF(VLOOKUP(DATE($E$1,9,DAY($AA11)),Info!$AO$19:$AO$30,1)=DATE($E$1,9,DAY($AA11)),VLOOKUP(DATE($E$1,9,DAY($AA11)),Info!$AO$19:$AP$30,2,),"")</f>
        <v/>
      </c>
      <c r="AK11" s="72" t="str">
        <f>IF(VLOOKUP(DATE($E$1,10,DAY($AA11)),Info!$AO$19:$AO$30,1)=DATE($E$1,10,DAY($AA11)),VLOOKUP(DATE($E$1,10,DAY($AA11)),Info!$AO$19:$AP$30,2,),"")</f>
        <v/>
      </c>
      <c r="AL11" s="72" t="str">
        <f>IF(WEEKDAY(DATE($E$1,11,DAY(AA11)),1)=1,"Allhelgensdag","")&amp;IF(VLOOKUP(DATE($E$1,11,DAY($AA11)),Info!$AO$19:$AO$30,1)=DATE($E$1,11,DAY($AA11)),VLOOKUP(DATE($E$1,11,DAY($AA11)),Info!$AO$19:$AP$30,2,),"")</f>
        <v/>
      </c>
      <c r="AM11" s="72" t="str">
        <f>IF(VLOOKUP(DATE($E$1,12,DAY($AA11)),Info!$AO$19:$AO$30,1)=DATE($E$1,12,DAY($AA11)),VLOOKUP(DATE($E$1,12,DAY($AA11)),Info!$AO$19:$AP$30,2,),"")</f>
        <v/>
      </c>
      <c r="AN11" s="67"/>
      <c r="AO11" s="143">
        <f>Dager!C7-3</f>
        <v>41746</v>
      </c>
      <c r="AP11" s="72" t="s">
        <v>124</v>
      </c>
    </row>
    <row r="12" spans="1:42" x14ac:dyDescent="0.2">
      <c r="A12" s="13" t="s">
        <v>42</v>
      </c>
      <c r="B12" s="1"/>
      <c r="C12" s="291">
        <f>TIME(,D12,)</f>
        <v>0.17708333333333334</v>
      </c>
      <c r="D12" s="61">
        <f>IF(C42*C7&lt;C44,D10,C44)</f>
        <v>255</v>
      </c>
      <c r="E12" s="289"/>
      <c r="F12" s="36"/>
      <c r="H12" s="24" t="s">
        <v>18</v>
      </c>
      <c r="I12" s="57"/>
      <c r="J12" s="150" t="str">
        <f>Sep!$H$48</f>
        <v/>
      </c>
      <c r="AA12" s="70">
        <f t="shared" si="0"/>
        <v>41645</v>
      </c>
      <c r="AB12" s="72" t="str">
        <f>IF(VLOOKUP(DATE($E$1,1,DAY($AA12)),Info!$AO$19:$AO$30,1)=DATE($E$1,1,DAY($AA12)),VLOOKUP(DATE($E$1,1,DAY($AA12)),Info!$AO$19:$AP$30,2,),"")</f>
        <v/>
      </c>
      <c r="AC12" s="72" t="str">
        <f>"Samenes nasjonaldag"&amp;IF(VLOOKUP(DATE($E$1,2,DAY($AA12)),Info!$AO$7:$AO$17,1)=DATE($E$1,2,DAY($AA12))," · "&amp;VLOOKUP(DATE($E$1,2,DAY($AA12)),Info!$AO$7:$AP$17,2,),"")&amp;IF(VLOOKUP(DATE($E$1,2,DAY($AA12)),Info!$AO$19:$AO$30,1)=DATE($E$1,2,DAY($AA12)),VLOOKUP(DATE($E$1,2,DAY($AA12)),Info!$AO$19:$AP$30,2,),"")</f>
        <v>Samenes nasjonaldag</v>
      </c>
      <c r="AD12" s="72" t="str">
        <f>IF(VLOOKUP(DATE($E$1,3,DAY($AA12)),Info!$AO$7:$AO$17,1)=DATE($E$1,3,DAY($AA12)),VLOOKUP(DATE($E$1,3,DAY($AA12)),Info!$AO$7:$AP$17,2,),"")&amp;IF(VLOOKUP(DATE($E$1,3,DAY($AA12)),Info!$AO$19:$AO$30,1)=DATE($E$1,3,DAY($AA12)),VLOOKUP(DATE($E$1,3,DAY($AA12)),Info!$AO$19:$AP$30,2,),"")</f>
        <v/>
      </c>
      <c r="AE12" s="72" t="str">
        <f>IF(VLOOKUP(DATE($E$1,4,DAY($AA12)),Info!$AO$7:$AO$17,1)=DATE($E$1,4,DAY($AA12)),VLOOKUP(DATE($E$1,4,DAY($AA12)),Info!$AO$7:$AP$17,2,),"")&amp;IF(VLOOKUP(DATE($E$1,4,DAY($AA12)),Info!$AO$19:$AO$30,1)=DATE($E$1,4,DAY($AA12)),VLOOKUP(DATE($E$1,4,DAY($AA12)),Info!$AO$19:$AP$30,2,),"")</f>
        <v/>
      </c>
      <c r="AF12" s="72" t="str">
        <f>IF(VLOOKUP(DATE($E$1,5,DAY($AA12)),Info!$AO$7:$AO$17,1)=DATE($E$1,5,DAY($AA12)),VLOOKUP(DATE($E$1,5,DAY($AA12)),Info!$AO$7:$AP$17,2,),"")&amp;IF(VLOOKUP(DATE($E$1,5,DAY($AA12)),Info!$AO$19:$AO$30,1)=DATE($E$1,5,DAY($AA12)),VLOOKUP(DATE($E$1,5,DAY($AA12)),Info!$AO$19:$AP$30,2,),"")</f>
        <v/>
      </c>
      <c r="AG12" s="72" t="str">
        <f>"Flaggans dag Sverige"&amp;IF(VLOOKUP(DATE($E$1,6,DAY($AA12)),Info!$AO$7:$AO$17,1)=DATE($E$1,6,DAY($AA12)),VLOOKUP(DATE($E$1,6,DAY($AA12)),Info!$AO$7:$AP$17,2,),"")&amp;IF(VLOOKUP(DATE($E$1,6,DAY($AA12)),Info!$AO$19:$AO$30,1)=DATE($E$1,6,DAY($AA12)),VLOOKUP(DATE($E$1,6,DAY($AA12)),Info!$AO$19:$AP$30,2,),"")</f>
        <v>Flaggans dag Sverige</v>
      </c>
      <c r="AH12" s="72" t="str">
        <f>IF(VLOOKUP(DATE($E$1,7,DAY($AA12)),Info!$AO$19:$AO$30,1)=DATE($E$1,7,DAY($AA12)),VLOOKUP(DATE($E$1,7,DAY($AA12)),Info!$AO$19:$AP$30,2,),"")</f>
        <v/>
      </c>
      <c r="AI12" s="72" t="str">
        <f>IF(VLOOKUP(DATE($E$1,8,DAY($AA12)),Info!$AO$19:$AO$30,1)=DATE($E$1,8,DAY($AA12)),VLOOKUP(DATE($E$1,8,DAY($AA12)),Info!$AO$19:$AP$30,2,),"")</f>
        <v/>
      </c>
      <c r="AJ12" s="72" t="str">
        <f>IF(VLOOKUP(DATE($E$1,9,DAY($AA12)),Info!$AO$19:$AO$30,1)=DATE($E$1,9,DAY($AA12)),VLOOKUP(DATE($E$1,9,DAY($AA12)),Info!$AO$19:$AP$30,2,),"")</f>
        <v/>
      </c>
      <c r="AK12" s="72" t="str">
        <f>IF(VLOOKUP(DATE($E$1,10,DAY($AA12)),Info!$AO$19:$AO$30,1)=DATE($E$1,10,DAY($AA12)),VLOOKUP(DATE($E$1,10,DAY($AA12)),Info!$AO$19:$AP$30,2,),"")</f>
        <v/>
      </c>
      <c r="AL12" s="72" t="str">
        <f>IF(WEEKDAY(DATE($E$1,11,DAY(AA12)),1)=1,"Allhelgensdag","")&amp;IF(VLOOKUP(DATE($E$1,11,DAY($AA12)),Info!$AO$19:$AO$30,1)=DATE($E$1,11,DAY($AA12)),VLOOKUP(DATE($E$1,11,DAY($AA12)),Info!$AO$19:$AP$30,2,),"")</f>
        <v/>
      </c>
      <c r="AM12" s="72" t="str">
        <f>"Nasjonaldag Finland"&amp;IF(VLOOKUP(DATE($E$1,12,DAY($AA12)),Info!$AO$19:$AO$30,1)=DATE($E$1,12,DAY($AA12)),VLOOKUP(DATE($E$1,12,DAY($AA12)),Info!$AO$19:$AP$30,2,),"")</f>
        <v>Nasjonaldag Finland</v>
      </c>
      <c r="AN12" s="67"/>
      <c r="AO12" s="142">
        <f>Dager!C7-2</f>
        <v>41747</v>
      </c>
      <c r="AP12" s="136" t="s">
        <v>123</v>
      </c>
    </row>
    <row r="13" spans="1:42" x14ac:dyDescent="0.2">
      <c r="A13" s="30" t="s">
        <v>92</v>
      </c>
      <c r="B13" s="31"/>
      <c r="C13" s="292">
        <f>TIME(,D13,)</f>
        <v>0.32291666666666669</v>
      </c>
      <c r="D13" s="288">
        <f>IF(C42*C7&lt;C45,D10,C45)</f>
        <v>465</v>
      </c>
      <c r="E13" s="290"/>
      <c r="F13" s="37"/>
      <c r="H13" s="24" t="s">
        <v>7</v>
      </c>
      <c r="I13" s="57"/>
      <c r="J13" s="150" t="str">
        <f>Okt!$H$49</f>
        <v/>
      </c>
      <c r="AA13" s="70">
        <f t="shared" si="0"/>
        <v>41646</v>
      </c>
      <c r="AB13" s="72" t="str">
        <f>IF(VLOOKUP(DATE($E$1,1,DAY($AA13)),Info!$AO$19:$AO$30,1)=DATE($E$1,1,DAY($AA13)),VLOOKUP(DATE($E$1,1,DAY($AA13)),Info!$AO$19:$AP$30,2,),"")</f>
        <v/>
      </c>
      <c r="AC13" s="72" t="str">
        <f>IF(VLOOKUP(DATE($E$1,2,DAY($AA13)),Info!$AO$7:$AO$17,1)=DATE($E$1,2,DAY($AA13)),VLOOKUP(DATE($E$1,2,DAY($AA13)),Info!$AO$7:$AP$17,2,),"")&amp;IF(VLOOKUP(DATE($E$1,2,DAY($AA13)),Info!$AO$19:$AO$30,1)=DATE($E$1,2,DAY($AA13)),VLOOKUP(DATE($E$1,2,DAY($AA13)),Info!$AO$19:$AP$30,2,),"")</f>
        <v/>
      </c>
      <c r="AD13" s="72" t="str">
        <f>IF(VLOOKUP(DATE($E$1,3,DAY($AA13)),Info!$AO$7:$AO$17,1)=DATE($E$1,3,DAY($AA13)),VLOOKUP(DATE($E$1,3,DAY($AA13)),Info!$AO$7:$AP$17,2,),"")&amp;IF(VLOOKUP(DATE($E$1,3,DAY($AA13)),Info!$AO$19:$AO$30,1)=DATE($E$1,3,DAY($AA13)),VLOOKUP(DATE($E$1,3,DAY($AA13)),Info!$AO$19:$AP$30,2,),"")</f>
        <v/>
      </c>
      <c r="AE13" s="72" t="str">
        <f>IF(VLOOKUP(DATE($E$1,4,DAY($AA13)),Info!$AO$7:$AO$17,1)=DATE($E$1,4,DAY($AA13)),VLOOKUP(DATE($E$1,4,DAY($AA13)),Info!$AO$7:$AP$17,2,),"")&amp;IF(VLOOKUP(DATE($E$1,4,DAY($AA13)),Info!$AO$19:$AO$30,1)=DATE($E$1,4,DAY($AA13)),VLOOKUP(DATE($E$1,4,DAY($AA13)),Info!$AO$19:$AP$30,2,),"")</f>
        <v/>
      </c>
      <c r="AF13" s="72" t="str">
        <f>IF(VLOOKUP(DATE($E$1,5,DAY($AA13)),Info!$AO$7:$AO$17,1)=DATE($E$1,5,DAY($AA13)),VLOOKUP(DATE($E$1,5,DAY($AA13)),Info!$AO$7:$AP$17,2,),"")&amp;IF(VLOOKUP(DATE($E$1,5,DAY($AA13)),Info!$AO$19:$AO$30,1)=DATE($E$1,5,DAY($AA13)),VLOOKUP(DATE($E$1,5,DAY($AA13)),Info!$AO$19:$AP$30,2,),"")</f>
        <v/>
      </c>
      <c r="AG13" s="72" t="str">
        <f>"Unionsoppløsning"&amp;IF(VLOOKUP(DATE($E$1,6,DAY($AA13)),Info!$AO$7:$AO$17,1)=DATE($E$1,6,DAY($AA13)),VLOOKUP(DATE($E$1,6,DAY($AA13)),Info!$AO$7:$AP$17,2,),"")&amp;IF(VLOOKUP(DATE($E$1,6,DAY($AA13)),Info!$AO$19:$AO$30,1)=DATE($E$1,6,DAY($AA13)),VLOOKUP(DATE($E$1,6,DAY($AA13)),Info!$AO$19:$AP$30,2,),"")</f>
        <v>Unionsoppløsning</v>
      </c>
      <c r="AH13" s="72" t="str">
        <f>IF(VLOOKUP(DATE($E$1,7,DAY($AA13)),Info!$AO$19:$AO$30,1)=DATE($E$1,7,DAY($AA13)),VLOOKUP(DATE($E$1,7,DAY($AA13)),Info!$AO$19:$AP$30,2,),"")</f>
        <v/>
      </c>
      <c r="AI13" s="72" t="str">
        <f>IF(VLOOKUP(DATE($E$1,8,DAY($AA13)),Info!$AO$19:$AO$30,1)=DATE($E$1,8,DAY($AA13)),VLOOKUP(DATE($E$1,8,DAY($AA13)),Info!$AO$19:$AP$30,2,),"")</f>
        <v/>
      </c>
      <c r="AJ13" s="72" t="str">
        <f>IF(VLOOKUP(DATE($E$1,9,DAY($AA13)),Info!$AO$19:$AO$30,1)=DATE($E$1,9,DAY($AA13)),VLOOKUP(DATE($E$1,9,DAY($AA13)),Info!$AO$19:$AP$30,2,),"")</f>
        <v/>
      </c>
      <c r="AK13" s="72" t="str">
        <f>IF(VLOOKUP(DATE($E$1,10,DAY($AA13)),Info!$AO$19:$AO$30,1)=DATE($E$1,10,DAY($AA13)),VLOOKUP(DATE($E$1,10,DAY($AA13)),Info!$AO$19:$AP$30,2,),"")</f>
        <v/>
      </c>
      <c r="AL13" s="72" t="str">
        <f>IF(WEEKDAY(DATE($E$1,11,DAY(AA13)),1)=1,"Allhelgensdag","")&amp;IF(VLOOKUP(DATE($E$1,11,DAY($AA13)),Info!$AO$19:$AO$30,1)=DATE($E$1,11,DAY($AA13)),VLOOKUP(DATE($E$1,11,DAY($AA13)),Info!$AO$19:$AP$30,2,),"")</f>
        <v/>
      </c>
      <c r="AM13" s="72" t="str">
        <f>IF(VLOOKUP(DATE($E$1,12,DAY($AA13)),Info!$AO$19:$AO$30,1)=DATE($E$1,12,DAY($AA13)),VLOOKUP(DATE($E$1,12,DAY($AA13)),Info!$AO$19:$AP$30,2,),"")</f>
        <v/>
      </c>
      <c r="AN13" s="67"/>
      <c r="AO13" s="142">
        <f>Dager!C7</f>
        <v>41749</v>
      </c>
      <c r="AP13" s="136" t="s">
        <v>20</v>
      </c>
    </row>
    <row r="14" spans="1:42" x14ac:dyDescent="0.2">
      <c r="H14" s="24" t="s">
        <v>8</v>
      </c>
      <c r="I14" s="57"/>
      <c r="J14" s="150" t="str">
        <f>Nov!$H$48</f>
        <v/>
      </c>
      <c r="AA14" s="70">
        <f t="shared" si="0"/>
        <v>41647</v>
      </c>
      <c r="AB14" s="72" t="str">
        <f>IF(VLOOKUP(DATE($E$1,1,DAY($AA14)),Info!$AO$19:$AO$30,1)=DATE($E$1,1,DAY($AA14)),VLOOKUP(DATE($E$1,1,DAY($AA14)),Info!$AO$19:$AP$30,2,),"")</f>
        <v/>
      </c>
      <c r="AC14" s="72" t="str">
        <f>IF(WEEKDAY(DATE($E$1,2,DAY($AA14)),1)=1,"Morsdag","")&amp;IF(VLOOKUP(DATE($E$1,2,DAY($AA14)),Info!$AO$7:$AO$17,1)=DATE($E$1,2,DAY($AA14))," · "&amp;VLOOKUP(DATE($E$1,2,DAY($AA14)),Info!$AO$7:$AP$17,2,),"")&amp;IF(VLOOKUP(DATE($E$1,2,DAY($AA14)),Info!$AO$19:$AO$30,1)=DATE($E$1,2,DAY($AA14)),VLOOKUP(DATE($E$1,2,DAY($AA14)),Info!$AO$19:$AP$30,2,),"")</f>
        <v/>
      </c>
      <c r="AD14" s="72" t="str">
        <f>"Kvinnedagen"&amp;IF(VLOOKUP(DATE($E$1,3,DAY($AA14)),Info!$AO$7:$AO$17,1)=DATE($E$1,3,DAY($AA14))," · "&amp;VLOOKUP(DATE($E$1,3,DAY($AA14)),Info!$AO$7:$AP$17,2,),"")&amp;IF(VLOOKUP(DATE($E$1,3,DAY($AA14)),Info!$AO$19:$AO$30,1)=DATE($E$1,3,DAY($AA14)),VLOOKUP(DATE($E$1,3,DAY($AA14)),Info!$AO$19:$AP$30,2,),"")</f>
        <v>Kvinnedagen</v>
      </c>
      <c r="AE14" s="72" t="str">
        <f>IF(VLOOKUP(DATE($E$1,4,DAY($AA14)),Info!$AO$7:$AO$17,1)=DATE($E$1,4,DAY($AA14)),VLOOKUP(DATE($E$1,4,DAY($AA14)),Info!$AO$7:$AP$17,2,),"")&amp;IF(VLOOKUP(DATE($E$1,4,DAY($AA14)),Info!$AO$19:$AO$30,1)=DATE($E$1,4,DAY($AA14)),VLOOKUP(DATE($E$1,4,DAY($AA14)),Info!$AO$19:$AP$30,2,),"")</f>
        <v/>
      </c>
      <c r="AF14" s="72" t="str">
        <f>"Frigjøringen"&amp;IF(VLOOKUP(DATE($E$1,5,DAY($AA14)),Info!$AO$7:$AO$17,1)=DATE($E$1,5,DAY($AA14))," · "&amp;VLOOKUP(DATE($E$1,5,DAY($AA14)),Info!$AO$7:$AP$17,2,),"")&amp;IF(VLOOKUP(DATE($E$1,5,DAY($AA14)),Info!$AO$19:$AO$30,1)=DATE($E$1,5,DAY($AA14)),VLOOKUP(DATE($E$1,5,DAY($AA14)),Info!$AO$19:$AP$30,2,),"")</f>
        <v>Frigjøringen</v>
      </c>
      <c r="AG14" s="72" t="str">
        <f>IF(VLOOKUP(DATE($E$1,6,DAY($AA14)),Info!$AO$7:$AO$17,1)=DATE($E$1,6,DAY($AA14)),VLOOKUP(DATE($E$1,6,DAY($AA14)),Info!$AO$7:$AP$17,2,),"")&amp;IF(VLOOKUP(DATE($E$1,6,DAY($AA14)),Info!$AO$19:$AO$30,1)=DATE($E$1,6,DAY($AA14)),VLOOKUP(DATE($E$1,6,DAY($AA14)),Info!$AO$19:$AP$30,2,),"")</f>
        <v>1. pinsedag</v>
      </c>
      <c r="AH14" s="72" t="str">
        <f>IF(VLOOKUP(DATE($E$1,7,DAY($AA14)),Info!$AO$19:$AO$30,1)=DATE($E$1,7,DAY($AA14)),VLOOKUP(DATE($E$1,7,DAY($AA14)),Info!$AO$19:$AP$30,2,),"")</f>
        <v/>
      </c>
      <c r="AI14" s="72" t="str">
        <f>IF(VLOOKUP(DATE($E$1,8,DAY($AA14)),Info!$AO$19:$AO$30,1)=DATE($E$1,8,DAY($AA14)),VLOOKUP(DATE($E$1,8,DAY($AA14)),Info!$AO$19:$AP$30,2,),"")</f>
        <v/>
      </c>
      <c r="AJ14" s="72" t="str">
        <f>IF(WEEKDAY(DATE($E$1,9,DAY(AA14)),2)=6,"Dyrsku'n","")&amp;IF(VLOOKUP(DATE($E$1,9,DAY($AA14)),Info!$AO$19:$AO$30,1)=DATE($E$1,9,DAY($AA14)),VLOOKUP(DATE($E$1,9,DAY($AA14)),Info!$AO$19:$AP$30,2,),"")</f>
        <v/>
      </c>
      <c r="AK14" s="72" t="str">
        <f>IF(VLOOKUP(DATE($E$1,10,DAY($AA14)),Info!$AO$19:$AO$30,1)=DATE($E$1,10,DAY($AA14)),VLOOKUP(DATE($E$1,10,DAY($AA14)),Info!$AO$19:$AP$30,2,),"")</f>
        <v/>
      </c>
      <c r="AL14" s="72" t="str">
        <f>IF(WEEKDAY(DATE($E$1,11,DAY(AA14)),1)=1,"Farsdag","")&amp;IF(VLOOKUP(DATE($E$1,11,DAY($AA14)),Info!$AO$19:$AO$30,1)=DATE($E$1,11,DAY($AA14)),VLOOKUP(DATE($E$1,11,DAY($AA14)),Info!$AO$19:$AP$30,2,),"")</f>
        <v/>
      </c>
      <c r="AM14" s="72" t="str">
        <f>IF(VLOOKUP(DATE($E$1,12,DAY($AA14)),Info!$AO$19:$AO$30,1)=DATE($E$1,12,DAY($AA14)),VLOOKUP(DATE($E$1,12,DAY($AA14)),Info!$AO$19:$AP$30,2,),"")</f>
        <v/>
      </c>
      <c r="AN14" s="67"/>
      <c r="AO14" s="142">
        <f>Dager!C7+1</f>
        <v>41750</v>
      </c>
      <c r="AP14" s="136" t="s">
        <v>122</v>
      </c>
    </row>
    <row r="15" spans="1:42" x14ac:dyDescent="0.2">
      <c r="A15" s="441" t="s">
        <v>33</v>
      </c>
      <c r="B15" s="442"/>
      <c r="C15" s="442"/>
      <c r="D15" s="442"/>
      <c r="E15" s="442"/>
      <c r="F15" s="442"/>
      <c r="G15" s="442"/>
      <c r="H15" s="24" t="s">
        <v>9</v>
      </c>
      <c r="I15" s="57"/>
      <c r="J15" s="150" t="str">
        <f>Des!$H$49</f>
        <v/>
      </c>
      <c r="AA15" s="70">
        <f t="shared" si="0"/>
        <v>41648</v>
      </c>
      <c r="AB15" s="72" t="str">
        <f>IF(VLOOKUP(DATE($E$1,1,DAY($AA15)),Info!$AO$19:$AO$30,1)=DATE($E$1,1,DAY($AA15)),VLOOKUP(DATE($E$1,1,DAY($AA15)),Info!$AO$19:$AP$30,2,),"")</f>
        <v/>
      </c>
      <c r="AC15" s="72" t="str">
        <f>IF(WEEKDAY(DATE($E$1,2,DAY($AA15)),1)=1,"Morsdag","")&amp;IF(VLOOKUP(DATE($E$1,2,DAY($AA15)),Info!$AO$7:$AO$17,1)=DATE($E$1,2,DAY($AA15))," · "&amp;VLOOKUP(DATE($E$1,2,DAY($AA15)),Info!$AO$7:$AP$17,2,),"")&amp;IF(VLOOKUP(DATE($E$1,2,DAY($AA15)),Info!$AO$19:$AO$30,1)=DATE($E$1,2,DAY($AA15)),VLOOKUP(DATE($E$1,2,DAY($AA15)),Info!$AO$19:$AP$30,2,),"")</f>
        <v>Morsdag</v>
      </c>
      <c r="AD15" s="72" t="str">
        <f>IF(VLOOKUP(DATE($E$1,3,DAY($AA15)),Info!$AO$7:$AO$17,1)=DATE($E$1,3,DAY($AA15)),VLOOKUP(DATE($E$1,3,DAY($AA15)),Info!$AO$7:$AP$17,2,),"")&amp;IF(VLOOKUP(DATE($E$1,3,DAY($AA15)),Info!$AO$19:$AO$30,1)=DATE($E$1,3,DAY($AA15)),VLOOKUP(DATE($E$1,3,DAY($AA15)),Info!$AO$19:$AP$30,2,),"")</f>
        <v/>
      </c>
      <c r="AE15" s="72" t="str">
        <f>IF(VLOOKUP(DATE($E$1,4,DAY($AA15)),Info!$AO$7:$AO$17,1)=DATE($E$1,4,DAY($AA15)),VLOOKUP(DATE($E$1,4,DAY($AA15)),Info!$AO$7:$AP$17,2,),"")&amp;IF(VLOOKUP(DATE($E$1,4,DAY($AA15)),Info!$AO$19:$AO$30,1)=DATE($E$1,4,DAY($AA15)),VLOOKUP(DATE($E$1,4,DAY($AA15)),Info!$AO$19:$AP$30,2,),"")</f>
        <v/>
      </c>
      <c r="AF15" s="72" t="str">
        <f>IF(VLOOKUP(DATE($E$1,5,DAY($AA15)),Info!$AO$7:$AO$17,1)=DATE($E$1,5,DAY($AA15)),VLOOKUP(DATE($E$1,5,DAY($AA15)),Info!$AO$7:$AP$17,2,),"")&amp;IF(VLOOKUP(DATE($E$1,5,DAY($AA15)),Info!$AO$19:$AO$30,1)=DATE($E$1,5,DAY($AA15)),VLOOKUP(DATE($E$1,5,DAY($AA15)),Info!$AO$19:$AP$30,2,),"")</f>
        <v/>
      </c>
      <c r="AG15" s="72" t="str">
        <f>IF(VLOOKUP(DATE($E$1,6,DAY($AA15)),Info!$AO$7:$AO$17,1)=DATE($E$1,6,DAY($AA15)),VLOOKUP(DATE($E$1,6,DAY($AA15)),Info!$AO$7:$AP$17,2,),"")&amp;IF(VLOOKUP(DATE($E$1,6,DAY($AA15)),Info!$AO$19:$AO$30,1)=DATE($E$1,6,DAY($AA15)),VLOOKUP(DATE($E$1,6,DAY($AA15)),Info!$AO$19:$AP$30,2,),"")</f>
        <v>2. pinsedag</v>
      </c>
      <c r="AH15" s="72" t="str">
        <f>IF(VLOOKUP(DATE($E$1,7,DAY($AA15)),Info!$AO$19:$AO$30,1)=DATE($E$1,7,DAY($AA15)),VLOOKUP(DATE($E$1,7,DAY($AA15)),Info!$AO$19:$AP$30,2,),"")</f>
        <v/>
      </c>
      <c r="AI15" s="72" t="str">
        <f>IF(VLOOKUP(DATE($E$1,8,DAY($AA15)),Info!$AO$19:$AO$30,1)=DATE($E$1,8,DAY($AA15)),VLOOKUP(DATE($E$1,8,DAY($AA15)),Info!$AO$19:$AP$30,2,),"")</f>
        <v/>
      </c>
      <c r="AJ15" s="72" t="str">
        <f>IF(WEEKDAY(DATE($E$1,9,DAY(AA15)),2)=6,"Dyrsku'n","")&amp;IF(VLOOKUP(DATE($E$1,9,DAY($AA15)),Info!$AO$19:$AO$30,1)=DATE($E$1,9,DAY($AA15)),VLOOKUP(DATE($E$1,9,DAY($AA15)),Info!$AO$19:$AP$30,2,),"")</f>
        <v/>
      </c>
      <c r="AK15" s="72" t="str">
        <f>IF(VLOOKUP(DATE($E$1,10,DAY($AA15)),Info!$AO$19:$AO$30,1)=DATE($E$1,10,DAY($AA15)),VLOOKUP(DATE($E$1,10,DAY($AA15)),Info!$AO$19:$AP$30,2,),"")</f>
        <v/>
      </c>
      <c r="AL15" s="72" t="str">
        <f>IF(WEEKDAY(DATE($E$1,11,DAY(AA15)),1)=1,"Farsdag","")&amp;IF(VLOOKUP(DATE($E$1,11,DAY($AA15)),Info!$AO$19:$AO$30,1)=DATE($E$1,11,DAY($AA15)),VLOOKUP(DATE($E$1,11,DAY($AA15)),Info!$AO$19:$AP$30,2,),"")</f>
        <v>Farsdag</v>
      </c>
      <c r="AM15" s="72" t="str">
        <f>IF(VLOOKUP(DATE($E$1,12,DAY($AA15)),Info!$AO$19:$AO$30,1)=DATE($E$1,12,DAY($AA15)),VLOOKUP(DATE($E$1,12,DAY($AA15)),Info!$AO$19:$AP$30,2,),"")</f>
        <v/>
      </c>
      <c r="AN15" s="67"/>
      <c r="AO15" s="142">
        <f>Dager!C8</f>
        <v>41788</v>
      </c>
      <c r="AP15" s="136" t="s">
        <v>53</v>
      </c>
    </row>
    <row r="16" spans="1:42" x14ac:dyDescent="0.2">
      <c r="A16" s="296" t="s">
        <v>22</v>
      </c>
      <c r="B16" s="443" t="s">
        <v>214</v>
      </c>
      <c r="C16" s="443"/>
      <c r="D16" s="443"/>
      <c r="E16" s="443"/>
      <c r="F16" s="443"/>
      <c r="G16" s="443"/>
      <c r="H16" s="10"/>
      <c r="J16" s="150">
        <f>SUM(J4:J15)</f>
        <v>0</v>
      </c>
      <c r="K16" s="156" t="str">
        <f>"egenmelding"&amp;IF(J16&lt;&gt;1,"er","")</f>
        <v>egenmeldinger</v>
      </c>
      <c r="AA16" s="70">
        <f t="shared" si="0"/>
        <v>41649</v>
      </c>
      <c r="AB16" s="72" t="str">
        <f>IF(VLOOKUP(DATE($E$1,1,DAY($AA16)),Info!$AO$19:$AO$30,1)=DATE($E$1,1,DAY($AA16)),VLOOKUP(DATE($E$1,1,DAY($AA16)),Info!$AO$19:$AP$30,2,),"")</f>
        <v/>
      </c>
      <c r="AC16" s="72" t="str">
        <f>IF(WEEKDAY(DATE($E$1,2,DAY($AA16)),1)=1,"Morsdag","")&amp;IF(VLOOKUP(DATE($E$1,2,DAY($AA16)),Info!$AO$7:$AO$17,1)=DATE($E$1,2,DAY($AA16))," · "&amp;VLOOKUP(DATE($E$1,2,DAY($AA16)),Info!$AO$7:$AP$17,2,),"")&amp;IF(VLOOKUP(DATE($E$1,2,DAY($AA16)),Info!$AO$19:$AO$30,1)=DATE($E$1,2,DAY($AA16)),VLOOKUP(DATE($E$1,2,DAY($AA16)),Info!$AO$19:$AP$30,2,),"")</f>
        <v/>
      </c>
      <c r="AD16" s="72" t="str">
        <f>IF(VLOOKUP(DATE($E$1,3,DAY($AA16)),Info!$AO$7:$AO$17,1)=DATE($E$1,3,DAY($AA16)),VLOOKUP(DATE($E$1,3,DAY($AA16)),Info!$AO$7:$AP$17,2,),"")&amp;IF(VLOOKUP(DATE($E$1,3,DAY($AA16)),Info!$AO$19:$AO$30,1)=DATE($E$1,3,DAY($AA16)),VLOOKUP(DATE($E$1,3,DAY($AA16)),Info!$AO$19:$AP$30,2,),"")</f>
        <v/>
      </c>
      <c r="AE16" s="72" t="str">
        <f>IF(VLOOKUP(DATE($E$1,4,DAY($AA16)),Info!$AO$7:$AO$17,1)=DATE($E$1,4,DAY($AA16)),VLOOKUP(DATE($E$1,4,DAY($AA16)),Info!$AO$7:$AP$17,2,),"")&amp;IF(VLOOKUP(DATE($E$1,4,DAY($AA16)),Info!$AO$19:$AO$30,1)=DATE($E$1,4,DAY($AA16)),VLOOKUP(DATE($E$1,4,DAY($AA16)),Info!$AO$19:$AP$30,2,),"")</f>
        <v/>
      </c>
      <c r="AF16" s="72" t="str">
        <f>IF(VLOOKUP(DATE($E$1,5,DAY($AA16)),Info!$AO$7:$AO$17,1)=DATE($E$1,5,DAY($AA16)),VLOOKUP(DATE($E$1,5,DAY($AA16)),Info!$AO$7:$AP$17,2,),"")&amp;IF(VLOOKUP(DATE($E$1,5,DAY($AA16)),Info!$AO$19:$AO$30,1)=DATE($E$1,5,DAY($AA16)),VLOOKUP(DATE($E$1,5,DAY($AA16)),Info!$AO$19:$AP$30,2,),"")</f>
        <v/>
      </c>
      <c r="AG16" s="72" t="str">
        <f>IF(VLOOKUP(DATE($E$1,6,DAY($AA16)),Info!$AO$7:$AO$17,1)=DATE($E$1,6,DAY($AA16)),VLOOKUP(DATE($E$1,6,DAY($AA16)),Info!$AO$7:$AP$17,2,),"")&amp;IF(VLOOKUP(DATE($E$1,6,DAY($AA16)),Info!$AO$19:$AO$30,1)=DATE($E$1,6,DAY($AA16)),VLOOKUP(DATE($E$1,6,DAY($AA16)),Info!$AO$19:$AP$30,2,),"")</f>
        <v/>
      </c>
      <c r="AH16" s="72" t="str">
        <f>IF(VLOOKUP(DATE($E$1,7,DAY($AA16)),Info!$AO$19:$AO$30,1)=DATE($E$1,7,DAY($AA16)),VLOOKUP(DATE($E$1,7,DAY($AA16)),Info!$AO$19:$AP$30,2,),"")</f>
        <v/>
      </c>
      <c r="AI16" s="72" t="str">
        <f>IF(VLOOKUP(DATE($E$1,8,DAY($AA16)),Info!$AO$19:$AO$30,1)=DATE($E$1,8,DAY($AA16)),VLOOKUP(DATE($E$1,8,DAY($AA16)),Info!$AO$19:$AP$30,2,),"")</f>
        <v/>
      </c>
      <c r="AJ16" s="72" t="str">
        <f>IF(WEEKDAY(DATE($E$1,9,DAY(AA16)),2)=6,"Dyrsku'n","")&amp;IF(VLOOKUP(DATE($E$1,9,DAY($AA16)),Info!$AO$19:$AO$30,1)=DATE($E$1,9,DAY($AA16)),VLOOKUP(DATE($E$1,9,DAY($AA16)),Info!$AO$19:$AP$30,2,),"")</f>
        <v/>
      </c>
      <c r="AK16" s="72" t="str">
        <f>IF(VLOOKUP(DATE($E$1,10,DAY($AA16)),Info!$AO$19:$AO$30,1)=DATE($E$1,10,DAY($AA16)),VLOOKUP(DATE($E$1,10,DAY($AA16)),Info!$AO$19:$AP$30,2,),"")</f>
        <v/>
      </c>
      <c r="AL16" s="72" t="str">
        <f>IF(WEEKDAY(DATE($E$1,11,DAY(AA16)),1)=1,"Farsdag","")&amp;IF(VLOOKUP(DATE($E$1,11,DAY($AA16)),Info!$AO$19:$AO$30,1)=DATE($E$1,11,DAY($AA16)),VLOOKUP(DATE($E$1,11,DAY($AA16)),Info!$AO$19:$AP$30,2,),"")</f>
        <v/>
      </c>
      <c r="AM16" s="72" t="str">
        <f>IF(VLOOKUP(DATE($E$1,12,DAY($AA16)),Info!$AO$19:$AO$30,1)=DATE($E$1,12,DAY($AA16)),VLOOKUP(DATE($E$1,12,DAY($AA16)),Info!$AO$19:$AP$30,2,),"")</f>
        <v/>
      </c>
      <c r="AN16" s="67"/>
      <c r="AO16" s="142">
        <f>Dager!C9</f>
        <v>41798</v>
      </c>
      <c r="AP16" s="136" t="s">
        <v>21</v>
      </c>
    </row>
    <row r="17" spans="1:43" x14ac:dyDescent="0.2">
      <c r="A17" s="296" t="s">
        <v>23</v>
      </c>
      <c r="B17" s="443" t="s">
        <v>231</v>
      </c>
      <c r="C17" s="443"/>
      <c r="D17" s="443"/>
      <c r="E17" s="443"/>
      <c r="F17" s="443"/>
      <c r="G17" s="443"/>
      <c r="H17" s="10"/>
      <c r="I17" s="63"/>
      <c r="J17" s="151"/>
      <c r="K17" s="156"/>
      <c r="AA17" s="70">
        <f t="shared" si="0"/>
        <v>41650</v>
      </c>
      <c r="AB17" s="72" t="str">
        <f>IF(VLOOKUP(DATE($E$1,1,DAY($AA17)),Info!$AO$19:$AO$30,1)=DATE($E$1,1,DAY($AA17)),VLOOKUP(DATE($E$1,1,DAY($AA17)),Info!$AO$19:$AP$30,2,),"")</f>
        <v/>
      </c>
      <c r="AC17" s="72" t="str">
        <f>IF(WEEKDAY(DATE($E$1,2,DAY($AA17)),1)=1,"Morsdag","")&amp;IF(VLOOKUP(DATE($E$1,2,DAY($AA17)),Info!$AO$7:$AO$17,1)=DATE($E$1,2,DAY($AA17))," · "&amp;VLOOKUP(DATE($E$1,2,DAY($AA17)),Info!$AO$7:$AP$17,2,),"")&amp;IF(VLOOKUP(DATE($E$1,2,DAY($AA17)),Info!$AO$19:$AO$30,1)=DATE($E$1,2,DAY($AA17)),VLOOKUP(DATE($E$1,2,DAY($AA17)),Info!$AO$19:$AP$30,2,),"")</f>
        <v/>
      </c>
      <c r="AD17" s="72" t="str">
        <f>IF(VLOOKUP(DATE($E$1,3,DAY($AA17)),Info!$AO$7:$AO$17,1)=DATE($E$1,3,DAY($AA17)),VLOOKUP(DATE($E$1,3,DAY($AA17)),Info!$AO$7:$AP$17,2,),"")&amp;IF(VLOOKUP(DATE($E$1,3,DAY($AA17)),Info!$AO$19:$AO$30,1)=DATE($E$1,3,DAY($AA17)),VLOOKUP(DATE($E$1,3,DAY($AA17)),Info!$AO$19:$AP$30,2,),"")</f>
        <v/>
      </c>
      <c r="AE17" s="72" t="str">
        <f>IF(VLOOKUP(DATE($E$1,4,DAY($AA17)),Info!$AO$7:$AO$17,1)=DATE($E$1,4,DAY($AA17)),VLOOKUP(DATE($E$1,4,DAY($AA17)),Info!$AO$7:$AP$17,2,),"")&amp;IF(VLOOKUP(DATE($E$1,4,DAY($AA17)),Info!$AO$19:$AO$30,1)=DATE($E$1,4,DAY($AA17)),VLOOKUP(DATE($E$1,4,DAY($AA17)),Info!$AO$19:$AP$30,2,),"")</f>
        <v/>
      </c>
      <c r="AF17" s="72" t="str">
        <f>IF(VLOOKUP(DATE($E$1,5,DAY($AA17)),Info!$AO$7:$AO$17,1)=DATE($E$1,5,DAY($AA17)),VLOOKUP(DATE($E$1,5,DAY($AA17)),Info!$AO$7:$AP$17,2,),"")&amp;IF(VLOOKUP(DATE($E$1,5,DAY($AA17)),Info!$AO$19:$AO$30,1)=DATE($E$1,5,DAY($AA17)),VLOOKUP(DATE($E$1,5,DAY($AA17)),Info!$AO$19:$AP$30,2,),"")</f>
        <v/>
      </c>
      <c r="AG17" s="72" t="str">
        <f>IF(VLOOKUP(DATE($E$1,6,DAY($AA17)),Info!$AO$7:$AO$17,1)=DATE($E$1,6,DAY($AA17)),VLOOKUP(DATE($E$1,6,DAY($AA17)),Info!$AO$7:$AP$17,2,),"")&amp;IF(VLOOKUP(DATE($E$1,6,DAY($AA17)),Info!$AO$19:$AO$30,1)=DATE($E$1,6,DAY($AA17)),VLOOKUP(DATE($E$1,6,DAY($AA17)),Info!$AO$19:$AP$30,2,),"")</f>
        <v/>
      </c>
      <c r="AH17" s="72" t="str">
        <f>IF(VLOOKUP(DATE($E$1,7,DAY($AA17)),Info!$AO$19:$AO$30,1)=DATE($E$1,7,DAY($AA17)),VLOOKUP(DATE($E$1,7,DAY($AA17)),Info!$AO$19:$AP$30,2,),"")</f>
        <v/>
      </c>
      <c r="AI17" s="72" t="str">
        <f>IF(VLOOKUP(DATE($E$1,8,DAY($AA17)),Info!$AO$19:$AO$30,1)=DATE($E$1,8,DAY($AA17)),VLOOKUP(DATE($E$1,8,DAY($AA17)),Info!$AO$19:$AP$30,2,),"")</f>
        <v/>
      </c>
      <c r="AJ17" s="72" t="str">
        <f>IF(WEEKDAY(DATE($E$1,9,DAY(AA17)),2)=6,"Dyrsku'n","")&amp;IF(VLOOKUP(DATE($E$1,9,DAY($AA17)),Info!$AO$19:$AO$30,1)=DATE($E$1,9,DAY($AA17)),VLOOKUP(DATE($E$1,9,DAY($AA17)),Info!$AO$19:$AP$30,2,),"")</f>
        <v/>
      </c>
      <c r="AK17" s="72" t="str">
        <f>IF(VLOOKUP(DATE($E$1,10,DAY($AA17)),Info!$AO$19:$AO$30,1)=DATE($E$1,10,DAY($AA17)),VLOOKUP(DATE($E$1,10,DAY($AA17)),Info!$AO$19:$AP$30,2,),"")</f>
        <v/>
      </c>
      <c r="AL17" s="72" t="str">
        <f>IF(WEEKDAY(DATE($E$1,11,DAY(AA17)),1)=1,"Farsdag","")&amp;IF(VLOOKUP(DATE($E$1,11,DAY($AA17)),Info!$AO$19:$AO$30,1)=DATE($E$1,11,DAY($AA17)),VLOOKUP(DATE($E$1,11,DAY($AA17)),Info!$AO$19:$AP$30,2,),"")</f>
        <v/>
      </c>
      <c r="AM17" s="72" t="str">
        <f>IF(VLOOKUP(DATE($E$1,12,DAY($AA17)),Info!$AO$19:$AO$30,1)=DATE($E$1,12,DAY($AA17)),VLOOKUP(DATE($E$1,12,DAY($AA17)),Info!$AO$19:$AP$30,2,),"")</f>
        <v/>
      </c>
      <c r="AN17" s="67"/>
      <c r="AO17" s="142">
        <f>Dager!C9+1</f>
        <v>41799</v>
      </c>
      <c r="AP17" s="136" t="s">
        <v>121</v>
      </c>
    </row>
    <row r="18" spans="1:43" x14ac:dyDescent="0.2">
      <c r="A18" s="296" t="s">
        <v>24</v>
      </c>
      <c r="B18" s="443" t="s">
        <v>45</v>
      </c>
      <c r="C18" s="443"/>
      <c r="D18" s="443"/>
      <c r="E18" s="443"/>
      <c r="F18" s="443"/>
      <c r="G18" s="443"/>
      <c r="H18" s="126"/>
      <c r="I18" s="154"/>
      <c r="J18" s="152">
        <f>Des!E43</f>
        <v>0</v>
      </c>
      <c r="K18" s="156" t="s">
        <v>128</v>
      </c>
      <c r="AA18" s="70">
        <f t="shared" si="0"/>
        <v>41651</v>
      </c>
      <c r="AB18" s="72" t="str">
        <f>IF(VLOOKUP(DATE($E$1,1,DAY($AA18)),Info!$AO$19:$AO$30,1)=DATE($E$1,1,DAY($AA18)),VLOOKUP(DATE($E$1,1,DAY($AA18)),Info!$AO$19:$AP$30,2,),"")</f>
        <v/>
      </c>
      <c r="AC18" s="72" t="str">
        <f>IF(WEEKDAY(DATE($E$1,2,DAY($AA18)),1)=1,"Morsdag","")&amp;IF(VLOOKUP(DATE($E$1,2,DAY($AA18)),Info!$AO$7:$AO$17,1)=DATE($E$1,2,DAY($AA18))," · "&amp;VLOOKUP(DATE($E$1,2,DAY($AA18)),Info!$AO$7:$AP$17,2,),"")&amp;IF(VLOOKUP(DATE($E$1,2,DAY($AA18)),Info!$AO$19:$AO$30,1)=DATE($E$1,2,DAY($AA18)),VLOOKUP(DATE($E$1,2,DAY($AA18)),Info!$AO$19:$AP$30,2,),"")</f>
        <v/>
      </c>
      <c r="AD18" s="72" t="str">
        <f>IF(VLOOKUP(DATE($E$1,3,DAY($AA18)),Info!$AO$7:$AO$17,1)=DATE($E$1,3,DAY($AA18)),VLOOKUP(DATE($E$1,3,DAY($AA18)),Info!$AO$7:$AP$17,2,),"")&amp;IF(VLOOKUP(DATE($E$1,3,DAY($AA18)),Info!$AO$19:$AO$30,1)=DATE($E$1,3,DAY($AA18)),VLOOKUP(DATE($E$1,3,DAY($AA18)),Info!$AO$19:$AP$30,2,),"")</f>
        <v/>
      </c>
      <c r="AE18" s="72" t="str">
        <f>IF(VLOOKUP(DATE($E$1,4,DAY($AA18)),Info!$AO$7:$AO$17,1)=DATE($E$1,4,DAY($AA18)),VLOOKUP(DATE($E$1,4,DAY($AA18)),Info!$AO$7:$AP$17,2,),"")&amp;IF(VLOOKUP(DATE($E$1,4,DAY($AA18)),Info!$AO$19:$AO$30,1)=DATE($E$1,4,DAY($AA18)),VLOOKUP(DATE($E$1,4,DAY($AA18)),Info!$AO$19:$AP$30,2,),"")</f>
        <v/>
      </c>
      <c r="AF18" s="72" t="str">
        <f>IF(VLOOKUP(DATE($E$1,5,DAY($AA18)),Info!$AO$7:$AO$17,1)=DATE($E$1,5,DAY($AA18)),VLOOKUP(DATE($E$1,5,DAY($AA18)),Info!$AO$7:$AP$17,2,),"")&amp;IF(VLOOKUP(DATE($E$1,5,DAY($AA18)),Info!$AO$19:$AO$30,1)=DATE($E$1,5,DAY($AA18)),VLOOKUP(DATE($E$1,5,DAY($AA18)),Info!$AO$19:$AP$30,2,),"")</f>
        <v/>
      </c>
      <c r="AG18" s="72" t="str">
        <f>IF(VLOOKUP(DATE($E$1,6,DAY($AA18)),Info!$AO$7:$AO$17,1)=DATE($E$1,6,DAY($AA18)),VLOOKUP(DATE($E$1,6,DAY($AA18)),Info!$AO$7:$AP$17,2,),"")&amp;IF(VLOOKUP(DATE($E$1,6,DAY($AA18)),Info!$AO$19:$AO$30,1)=DATE($E$1,6,DAY($AA18)),VLOOKUP(DATE($E$1,6,DAY($AA18)),Info!$AO$19:$AP$30,2,),"")</f>
        <v/>
      </c>
      <c r="AH18" s="72" t="str">
        <f>IF(VLOOKUP(DATE($E$1,7,DAY($AA18)),Info!$AO$19:$AO$30,1)=DATE($E$1,7,DAY($AA18)),VLOOKUP(DATE($E$1,7,DAY($AA18)),Info!$AO$19:$AP$30,2,),"")</f>
        <v/>
      </c>
      <c r="AI18" s="72" t="str">
        <f>IF(VLOOKUP(DATE($E$1,8,DAY($AA18)),Info!$AO$19:$AO$30,1)=DATE($E$1,8,DAY($AA18)),VLOOKUP(DATE($E$1,8,DAY($AA18)),Info!$AO$19:$AP$30,2,),"")</f>
        <v/>
      </c>
      <c r="AJ18" s="72" t="str">
        <f>IF(WEEKDAY(DATE($E$1,9,DAY(AA18)),2)=6,"Dyrsku'n","")&amp;IF(VLOOKUP(DATE($E$1,9,DAY($AA18)),Info!$AO$19:$AO$30,1)=DATE($E$1,9,DAY($AA18)),VLOOKUP(DATE($E$1,9,DAY($AA18)),Info!$AO$19:$AP$30,2,),"")</f>
        <v/>
      </c>
      <c r="AK18" s="72" t="str">
        <f>IF(VLOOKUP(DATE($E$1,10,DAY($AA18)),Info!$AO$19:$AO$30,1)=DATE($E$1,10,DAY($AA18)),VLOOKUP(DATE($E$1,10,DAY($AA18)),Info!$AO$19:$AP$30,2,),"")</f>
        <v/>
      </c>
      <c r="AL18" s="72" t="str">
        <f>IF(WEEKDAY(DATE($E$1,11,DAY(AA18)),1)=1,"Farsdag","")&amp;IF(VLOOKUP(DATE($E$1,11,DAY($AA18)),Info!$AO$19:$AO$30,1)=DATE($E$1,11,DAY($AA18)),VLOOKUP(DATE($E$1,11,DAY($AA18)),Info!$AO$19:$AP$30,2,),"")</f>
        <v/>
      </c>
      <c r="AM18" s="72" t="str">
        <f>IF(VLOOKUP(DATE($E$1,12,DAY($AA18)),Info!$AO$19:$AO$30,1)=DATE($E$1,12,DAY($AA18)),VLOOKUP(DATE($E$1,12,DAY($AA18)),Info!$AO$19:$AP$30,2,),"")</f>
        <v/>
      </c>
      <c r="AN18" s="67"/>
    </row>
    <row r="19" spans="1:43" x14ac:dyDescent="0.2">
      <c r="A19" s="296"/>
      <c r="B19" s="443"/>
      <c r="C19" s="443"/>
      <c r="D19" s="443"/>
      <c r="E19" s="443"/>
      <c r="F19" s="443"/>
      <c r="G19" s="443"/>
      <c r="H19" s="1"/>
      <c r="I19" s="155"/>
      <c r="J19" s="152">
        <f>Des!E47</f>
        <v>0</v>
      </c>
      <c r="K19" s="156" t="str">
        <f>"feriedag"&amp;IF(J19&lt;&gt;1,"er","")</f>
        <v>feriedager</v>
      </c>
      <c r="AA19" s="70">
        <f t="shared" si="0"/>
        <v>41652</v>
      </c>
      <c r="AB19" s="72" t="str">
        <f>IF(VLOOKUP(DATE($E$1,1,DAY($AA19)),Info!$AO$19:$AO$30,1)=DATE($E$1,1,DAY($AA19)),VLOOKUP(DATE($E$1,1,DAY($AA19)),Info!$AO$19:$AP$30,2,),"")</f>
        <v/>
      </c>
      <c r="AC19" s="72" t="str">
        <f>IF(WEEKDAY(DATE($E$1,2,DAY($AA19)),1)=1,"Morsdag","")&amp;IF(VLOOKUP(DATE($E$1,2,DAY($AA19)),Info!$AO$7:$AO$17,1)=DATE($E$1,2,DAY($AA19))," · "&amp;VLOOKUP(DATE($E$1,2,DAY($AA19)),Info!$AO$7:$AP$17,2,),"")&amp;IF(VLOOKUP(DATE($E$1,2,DAY($AA19)),Info!$AO$19:$AO$30,1)=DATE($E$1,2,DAY($AA19)),VLOOKUP(DATE($E$1,2,DAY($AA19)),Info!$AO$19:$AP$30,2,),"")</f>
        <v/>
      </c>
      <c r="AD19" s="72" t="str">
        <f>IF(VLOOKUP(DATE($E$1,3,DAY($AA19)),Info!$AO$7:$AO$17,1)=DATE($E$1,3,DAY($AA19)),VLOOKUP(DATE($E$1,3,DAY($AA19)),Info!$AO$7:$AP$17,2,),"")&amp;IF(VLOOKUP(DATE($E$1,3,DAY($AA19)),Info!$AO$19:$AO$30,1)=DATE($E$1,3,DAY($AA19)),VLOOKUP(DATE($E$1,3,DAY($AA19)),Info!$AO$19:$AP$30,2,),"")</f>
        <v/>
      </c>
      <c r="AE19" s="72" t="str">
        <f>IF(VLOOKUP(DATE($E$1,4,DAY($AA19)),Info!$AO$7:$AO$17,1)=DATE($E$1,4,DAY($AA19)),VLOOKUP(DATE($E$1,4,DAY($AA19)),Info!$AO$7:$AP$17,2,),"")&amp;IF(VLOOKUP(DATE($E$1,4,DAY($AA19)),Info!$AO$19:$AO$30,1)=DATE($E$1,4,DAY($AA19)),VLOOKUP(DATE($E$1,4,DAY($AA19)),Info!$AO$19:$AP$30,2,),"")</f>
        <v>Palmesøndag</v>
      </c>
      <c r="AF19" s="72" t="str">
        <f>IF(VLOOKUP(DATE($E$1,5,DAY($AA19)),Info!$AO$7:$AO$17,1)=DATE($E$1,5,DAY($AA19)),VLOOKUP(DATE($E$1,5,DAY($AA19)),Info!$AO$7:$AP$17,2,),"")&amp;IF(VLOOKUP(DATE($E$1,5,DAY($AA19)),Info!$AO$19:$AO$30,1)=DATE($E$1,5,DAY($AA19)),VLOOKUP(DATE($E$1,5,DAY($AA19)),Info!$AO$19:$AP$30,2,),"")</f>
        <v/>
      </c>
      <c r="AG19" s="72" t="str">
        <f>IF(VLOOKUP(DATE($E$1,6,DAY($AA19)),Info!$AO$7:$AO$17,1)=DATE($E$1,6,DAY($AA19)),VLOOKUP(DATE($E$1,6,DAY($AA19)),Info!$AO$7:$AP$17,2,),"")&amp;IF(VLOOKUP(DATE($E$1,6,DAY($AA19)),Info!$AO$19:$AO$30,1)=DATE($E$1,6,DAY($AA19)),VLOOKUP(DATE($E$1,6,DAY($AA19)),Info!$AO$19:$AP$30,2,),"")</f>
        <v/>
      </c>
      <c r="AH19" s="72" t="str">
        <f>IF(VLOOKUP(DATE($E$1,7,DAY($AA19)),Info!$AO$19:$AO$30,1)=DATE($E$1,7,DAY($AA19)),VLOOKUP(DATE($E$1,7,DAY($AA19)),Info!$AO$19:$AP$30,2,),"")</f>
        <v/>
      </c>
      <c r="AI19" s="72" t="str">
        <f>IF(VLOOKUP(DATE($E$1,8,DAY($AA19)),Info!$AO$19:$AO$30,1)=DATE($E$1,8,DAY($AA19)),VLOOKUP(DATE($E$1,8,DAY($AA19)),Info!$AO$19:$AP$30,2,),"")</f>
        <v/>
      </c>
      <c r="AJ19" s="72" t="str">
        <f>IF(WEEKDAY(DATE($E$1,9,DAY(AA19)),2)=6,"Dyrsku'n","")&amp;IF(VLOOKUP(DATE($E$1,9,DAY($AA19)),Info!$AO$19:$AO$30,1)=DATE($E$1,9,DAY($AA19)),VLOOKUP(DATE($E$1,9,DAY($AA19)),Info!$AO$19:$AP$30,2,),"")</f>
        <v>Dyrsku'n</v>
      </c>
      <c r="AK19" s="72" t="str">
        <f>IF(VLOOKUP(DATE($E$1,10,DAY($AA19)),Info!$AO$19:$AO$30,1)=DATE($E$1,10,DAY($AA19)),VLOOKUP(DATE($E$1,10,DAY($AA19)),Info!$AO$19:$AP$30,2,),"")</f>
        <v/>
      </c>
      <c r="AL19" s="72" t="str">
        <f>IF(WEEKDAY(DATE($E$1,11,DAY(AA19)),1)=1,"Farsdag","")&amp;IF(VLOOKUP(DATE($E$1,11,DAY($AA19)),Info!$AO$19:$AO$30,1)=DATE($E$1,11,DAY($AA19)),VLOOKUP(DATE($E$1,11,DAY($AA19)),Info!$AO$19:$AP$30,2,),"")</f>
        <v/>
      </c>
      <c r="AM19" s="72" t="str">
        <f>"Lusia"&amp;IF(VLOOKUP(DATE($E$1,12,DAY($AA19)),Info!$AO$19:$AO$30,1)=DATE($E$1,12,DAY($AA19)),VLOOKUP(DATE($E$1,12,DAY($AA19)),Info!$AO$19:$AP$30,2,),"")</f>
        <v>Lusia</v>
      </c>
      <c r="AN19" s="67"/>
      <c r="AO19" s="143">
        <v>1</v>
      </c>
      <c r="AP19" s="136" t="s">
        <v>126</v>
      </c>
    </row>
    <row r="20" spans="1:43" x14ac:dyDescent="0.2">
      <c r="A20" s="282" t="s">
        <v>34</v>
      </c>
      <c r="B20" s="281"/>
      <c r="C20" s="281"/>
      <c r="D20" s="281"/>
      <c r="E20" s="281"/>
      <c r="F20" s="281"/>
      <c r="G20" s="281"/>
      <c r="H20" s="127"/>
      <c r="I20" s="74"/>
      <c r="J20" s="171">
        <f>J18/D10+J19</f>
        <v>0</v>
      </c>
      <c r="K20" s="156" t="str">
        <f>"ferie+fleksidag"&amp;IF(J20&lt;&gt;1,"er","")</f>
        <v>ferie+fleksidager</v>
      </c>
      <c r="AA20" s="70">
        <f t="shared" si="0"/>
        <v>41653</v>
      </c>
      <c r="AB20" s="72" t="str">
        <f>IF(VLOOKUP(DATE($E$1,1,DAY($AA20)),Info!$AO$19:$AO$30,1)=DATE($E$1,1,DAY($AA20)),VLOOKUP(DATE($E$1,1,DAY($AA20)),Info!$AO$19:$AP$30,2,),"")</f>
        <v/>
      </c>
      <c r="AC20" s="72" t="str">
        <f>"St.Valentin"&amp;IF(WEEKDAY(DATE($E$1,2,DAY($AA20)),1)=1," · Morsdag","")&amp;IF(VLOOKUP(DATE($E$1,2,DAY($AA20)),Info!$AO$7:$AO$17,1)=DATE($E$1,2,DAY($AA20))," · "&amp;VLOOKUP(DATE($E$1,2,DAY($AA20)),Info!$AO$7:$AP$17,2,),"")&amp;IF(VLOOKUP(DATE($E$1,2,DAY($AA20)),Info!$AO$19:$AO$30,1)=DATE($E$1,2,DAY($AA20)),VLOOKUP(DATE($E$1,2,DAY($AA20)),Info!$AO$19:$AP$30,2,),"")</f>
        <v>St.Valentin</v>
      </c>
      <c r="AD20" s="72" t="str">
        <f>IF(VLOOKUP(DATE($E$1,3,DAY($AA20)),Info!$AO$7:$AO$17,1)=DATE($E$1,3,DAY($AA20)),VLOOKUP(DATE($E$1,3,DAY($AA20)),Info!$AO$7:$AP$17,2,),"")&amp;IF(VLOOKUP(DATE($E$1,3,DAY($AA20)),Info!$AO$19:$AO$30,1)=DATE($E$1,3,DAY($AA20)),VLOOKUP(DATE($E$1,3,DAY($AA20)),Info!$AO$19:$AP$30,2,),"")</f>
        <v/>
      </c>
      <c r="AE20" s="72" t="str">
        <f>IF(VLOOKUP(DATE($E$1,4,DAY($AA20)),Info!$AO$7:$AO$17,1)=DATE($E$1,4,DAY($AA20)),VLOOKUP(DATE($E$1,4,DAY($AA20)),Info!$AO$7:$AP$17,2,),"")&amp;IF(VLOOKUP(DATE($E$1,4,DAY($AA20)),Info!$AO$19:$AO$30,1)=DATE($E$1,4,DAY($AA20)),VLOOKUP(DATE($E$1,4,DAY($AA20)),Info!$AO$19:$AP$30,2,),"")</f>
        <v/>
      </c>
      <c r="AF20" s="72" t="str">
        <f>IF(VLOOKUP(DATE($E$1,5,DAY($AA20)),Info!$AO$7:$AO$17,1)=DATE($E$1,5,DAY($AA20)),VLOOKUP(DATE($E$1,5,DAY($AA20)),Info!$AO$7:$AP$17,2,),"")&amp;IF(VLOOKUP(DATE($E$1,5,DAY($AA20)),Info!$AO$19:$AO$30,1)=DATE($E$1,5,DAY($AA20)),VLOOKUP(DATE($E$1,5,DAY($AA20)),Info!$AO$19:$AP$30,2,),"")</f>
        <v/>
      </c>
      <c r="AG20" s="72" t="str">
        <f>IF(VLOOKUP(DATE($E$1,6,DAY($AA20)),Info!$AO$7:$AO$17,1)=DATE($E$1,6,DAY($AA20)),VLOOKUP(DATE($E$1,6,DAY($AA20)),Info!$AO$7:$AP$17,2,),"")&amp;IF(VLOOKUP(DATE($E$1,6,DAY($AA20)),Info!$AO$19:$AO$30,1)=DATE($E$1,6,DAY($AA20)),VLOOKUP(DATE($E$1,6,DAY($AA20)),Info!$AO$19:$AP$30,2,),"")</f>
        <v/>
      </c>
      <c r="AH20" s="72" t="str">
        <f>IF(VLOOKUP(DATE($E$1,7,DAY($AA20)),Info!$AO$19:$AO$30,1)=DATE($E$1,7,DAY($AA20)),VLOOKUP(DATE($E$1,7,DAY($AA20)),Info!$AO$19:$AP$30,2,),"")</f>
        <v/>
      </c>
      <c r="AI20" s="72" t="str">
        <f>IF(VLOOKUP(DATE($E$1,8,DAY($AA20)),Info!$AO$19:$AO$30,1)=DATE($E$1,8,DAY($AA20)),VLOOKUP(DATE($E$1,8,DAY($AA20)),Info!$AO$19:$AP$30,2,),"")</f>
        <v/>
      </c>
      <c r="AJ20" s="72" t="str">
        <f>IF(WEEKDAY(DATE($E$1,9,DAY(AA20)),2)=6,"Dyrsku'n","")&amp;IF(VLOOKUP(DATE($E$1,9,DAY($AA20)),Info!$AO$19:$AO$30,1)=DATE($E$1,9,DAY($AA20)),VLOOKUP(DATE($E$1,9,DAY($AA20)),Info!$AO$19:$AP$30,2,),"")</f>
        <v/>
      </c>
      <c r="AK20" s="72" t="str">
        <f>IF(VLOOKUP(DATE($E$1,10,DAY($AA20)),Info!$AO$19:$AO$30,1)=DATE($E$1,10,DAY($AA20)),VLOOKUP(DATE($E$1,10,DAY($AA20)),Info!$AO$19:$AP$30,2,),"")</f>
        <v/>
      </c>
      <c r="AL20" s="72" t="str">
        <f>IF(WEEKDAY(DATE($E$1,11,DAY(AA20)),1)=1,"Farsdag","")&amp;IF(VLOOKUP(DATE($E$1,11,DAY($AA20)),Info!$AO$19:$AO$30,1)=DATE($E$1,11,DAY($AA20)),VLOOKUP(DATE($E$1,11,DAY($AA20)),Info!$AO$19:$AP$30,2,),"")</f>
        <v/>
      </c>
      <c r="AM20" s="72" t="str">
        <f>IF(VLOOKUP(DATE($E$1,12,DAY($AA20)),Info!$AO$19:$AO$30,1)=DATE($E$1,12,DAY($AA20)),VLOOKUP(DATE($E$1,12,DAY($AA20)),Info!$AO$19:$AP$30,2,),"")</f>
        <v/>
      </c>
      <c r="AN20" s="67"/>
      <c r="AO20" s="142">
        <f>LARGE(Dager!$G$18:$G$48,11)</f>
        <v>2</v>
      </c>
      <c r="AP20" s="136" t="str">
        <f>VLOOKUP(AO20,Dager!$G$18:$H$48,2,FALSE)</f>
        <v/>
      </c>
      <c r="AQ20" s="136"/>
    </row>
    <row r="21" spans="1:43" x14ac:dyDescent="0.2">
      <c r="A21" s="298" t="s">
        <v>22</v>
      </c>
      <c r="B21" s="297" t="s">
        <v>46</v>
      </c>
      <c r="C21" s="297"/>
      <c r="D21" s="297"/>
      <c r="E21" s="297"/>
      <c r="F21" s="297"/>
      <c r="G21" s="297"/>
      <c r="H21" s="128"/>
      <c r="I21" s="78"/>
      <c r="AA21" s="70">
        <f t="shared" si="0"/>
        <v>41654</v>
      </c>
      <c r="AB21" s="72" t="str">
        <f>IF(VLOOKUP(DATE($E$1,1,DAY($AA21)),Info!$AO$19:$AO$30,1)=DATE($E$1,1,DAY($AA21)),VLOOKUP(DATE($E$1,1,DAY($AA21)),Info!$AO$19:$AP$30,2,),"")</f>
        <v/>
      </c>
      <c r="AC21" s="72" t="str">
        <f>IF(VLOOKUP(DATE($E$1,2,DAY($AA21)),Info!$AO$7:$AO$17,1)=DATE($E$1,2,DAY($AA21)),VLOOKUP(DATE($E$1,2,DAY($AA21)),Info!$AO$7:$AP$17,2,),"")&amp;IF(VLOOKUP(DATE($E$1,2,DAY($AA21)),Info!$AO$19:$AO$30,1)=DATE($E$1,2,DAY($AA21)),VLOOKUP(DATE($E$1,2,DAY($AA21)),Info!$AO$19:$AP$30,2,),"")</f>
        <v/>
      </c>
      <c r="AD21" s="72" t="str">
        <f>IF(VLOOKUP(DATE($E$1,3,DAY($AA21)),Info!$AO$7:$AO$17,1)=DATE($E$1,3,DAY($AA21)),VLOOKUP(DATE($E$1,3,DAY($AA21)),Info!$AO$7:$AP$17,2,),"")&amp;IF(VLOOKUP(DATE($E$1,3,DAY($AA21)),Info!$AO$19:$AO$30,1)=DATE($E$1,3,DAY($AA21)),VLOOKUP(DATE($E$1,3,DAY($AA21)),Info!$AO$19:$AP$30,2,),"")</f>
        <v/>
      </c>
      <c r="AE21" s="72" t="str">
        <f>IF(VLOOKUP(DATE($E$1,4,DAY($AA21)),Info!$AO$7:$AO$17,1)=DATE($E$1,4,DAY($AA21)),VLOOKUP(DATE($E$1,4,DAY($AA21)),Info!$AO$7:$AP$17,2,),"")&amp;IF(VLOOKUP(DATE($E$1,4,DAY($AA21)),Info!$AO$19:$AO$30,1)=DATE($E$1,4,DAY($AA21)),VLOOKUP(DATE($E$1,4,DAY($AA21)),Info!$AO$19:$AP$30,2,),"")</f>
        <v/>
      </c>
      <c r="AF21" s="72" t="str">
        <f>IF(VLOOKUP(DATE($E$1,5,DAY($AA21)),Info!$AO$7:$AO$17,1)=DATE($E$1,5,DAY($AA21)),VLOOKUP(DATE($E$1,5,DAY($AA21)),Info!$AO$7:$AP$17,2,),"")&amp;IF(VLOOKUP(DATE($E$1,5,DAY($AA21)),Info!$AO$19:$AO$30,1)=DATE($E$1,5,DAY($AA21)),VLOOKUP(DATE($E$1,5,DAY($AA21)),Info!$AO$19:$AP$30,2,),"")</f>
        <v/>
      </c>
      <c r="AG21" s="72" t="str">
        <f>IF(VLOOKUP(DATE($E$1,6,DAY($AA21)),Info!$AO$7:$AO$17,1)=DATE($E$1,6,DAY($AA21)),VLOOKUP(DATE($E$1,6,DAY($AA21)),Info!$AO$7:$AP$17,2,),"")&amp;IF(VLOOKUP(DATE($E$1,6,DAY($AA21)),Info!$AO$19:$AO$30,1)=DATE($E$1,6,DAY($AA21)),VLOOKUP(DATE($E$1,6,DAY($AA21)),Info!$AO$19:$AP$30,2,),"")</f>
        <v/>
      </c>
      <c r="AH21" s="72" t="str">
        <f>IF(VLOOKUP(DATE($E$1,7,DAY($AA21)),Info!$AO$19:$AO$30,1)=DATE($E$1,7,DAY($AA21)),VLOOKUP(DATE($E$1,7,DAY($AA21)),Info!$AO$19:$AP$30,2,),"")</f>
        <v/>
      </c>
      <c r="AI21" s="72" t="str">
        <f>IF(VLOOKUP(DATE($E$1,8,DAY($AA21)),Info!$AO$19:$AO$30,1)=DATE($E$1,8,DAY($AA21)),VLOOKUP(DATE($E$1,8,DAY($AA21)),Info!$AO$19:$AP$30,2,),"")</f>
        <v/>
      </c>
      <c r="AJ21" s="72" t="str">
        <f>IF(VLOOKUP(DATE($E$1,9,DAY($AA21)),Info!$AO$19:$AO$30,1)=DATE($E$1,9,DAY($AA21)),VLOOKUP(DATE($E$1,9,DAY($AA21)),Info!$AO$19:$AP$30,2,),"")</f>
        <v/>
      </c>
      <c r="AK21" s="72" t="str">
        <f>IF(VLOOKUP(DATE($E$1,10,DAY($AA21)),Info!$AO$19:$AO$30,1)=DATE($E$1,10,DAY($AA21)),VLOOKUP(DATE($E$1,10,DAY($AA21)),Info!$AO$19:$AP$30,2,),"")</f>
        <v/>
      </c>
      <c r="AL21" s="72" t="str">
        <f>IF(VLOOKUP(DATE($E$1,11,DAY($AA21)),Info!$AO$19:$AO$30,1)=DATE($E$1,11,DAY($AA21)),VLOOKUP(DATE($E$1,11,DAY($AA21)),Info!$AO$19:$AP$30,2,),"")</f>
        <v/>
      </c>
      <c r="AM21" s="72" t="str">
        <f>IF(VLOOKUP(DATE($E$1,12,DAY($AA21)),Info!$AO$19:$AO$30,1)=DATE($E$1,12,DAY($AA21)),VLOOKUP(DATE($E$1,12,DAY($AA21)),Info!$AO$19:$AP$30,2,),"")</f>
        <v/>
      </c>
      <c r="AN21" s="67"/>
      <c r="AO21" s="142">
        <f>LARGE(Dager!$G$18:$G$48,10)</f>
        <v>3</v>
      </c>
      <c r="AP21" s="136" t="str">
        <f>VLOOKUP(AO21,Dager!$G$18:$H$48,2,FALSE)</f>
        <v/>
      </c>
    </row>
    <row r="22" spans="1:43" x14ac:dyDescent="0.2">
      <c r="A22" s="298" t="s">
        <v>23</v>
      </c>
      <c r="B22" s="297" t="s">
        <v>56</v>
      </c>
      <c r="C22" s="297"/>
      <c r="D22" s="297"/>
      <c r="E22" s="297"/>
      <c r="F22" s="297"/>
      <c r="G22" s="297"/>
      <c r="H22" s="129"/>
      <c r="I22" s="78"/>
      <c r="J22" s="152">
        <f>Des!E50</f>
        <v>0</v>
      </c>
      <c r="K22" s="156" t="str">
        <f>"sykedag"&amp;IF(J22&lt;&gt;1,"er","")</f>
        <v>sykedager</v>
      </c>
      <c r="AA22" s="70">
        <f t="shared" si="0"/>
        <v>41655</v>
      </c>
      <c r="AB22" s="72" t="str">
        <f>IF(VLOOKUP(DATE($E$1,1,DAY($AA22)),Info!$AO$19:$AO$30,1)=DATE($E$1,1,DAY($AA22)),VLOOKUP(DATE($E$1,1,DAY($AA22)),Info!$AO$19:$AP$30,2,),"")</f>
        <v/>
      </c>
      <c r="AC22" s="72" t="str">
        <f>IF(VLOOKUP(DATE($E$1,2,DAY($AA22)),Info!$AO$7:$AO$17,1)=DATE($E$1,2,DAY($AA22)),VLOOKUP(DATE($E$1,2,DAY($AA22)),Info!$AO$7:$AP$17,2,),"")&amp;IF(VLOOKUP(DATE($E$1,2,DAY($AA22)),Info!$AO$19:$AO$30,1)=DATE($E$1,2,DAY($AA22)),VLOOKUP(DATE($E$1,2,DAY($AA22)),Info!$AO$19:$AP$30,2,),"")</f>
        <v/>
      </c>
      <c r="AD22" s="72" t="str">
        <f>IF(VLOOKUP(DATE($E$1,3,DAY($AA22)),Info!$AO$7:$AO$17,1)=DATE($E$1,3,DAY($AA22)),VLOOKUP(DATE($E$1,3,DAY($AA22)),Info!$AO$7:$AP$17,2,),"")&amp;IF(VLOOKUP(DATE($E$1,3,DAY($AA22)),Info!$AO$19:$AO$30,1)=DATE($E$1,3,DAY($AA22)),VLOOKUP(DATE($E$1,3,DAY($AA22)),Info!$AO$19:$AP$30,2,),"")</f>
        <v/>
      </c>
      <c r="AE22" s="72" t="str">
        <f>IF(VLOOKUP(DATE($E$1,4,DAY($AA22)),Info!$AO$7:$AO$17,1)=DATE($E$1,4,DAY($AA22)),VLOOKUP(DATE($E$1,4,DAY($AA22)),Info!$AO$7:$AP$17,2,),"")&amp;IF(VLOOKUP(DATE($E$1,4,DAY($AA22)),Info!$AO$19:$AO$30,1)=DATE($E$1,4,DAY($AA22)),VLOOKUP(DATE($E$1,4,DAY($AA22)),Info!$AO$19:$AP$30,2,),"")</f>
        <v>Halv dag</v>
      </c>
      <c r="AF22" s="72" t="str">
        <f>IF(VLOOKUP(DATE($E$1,5,DAY($AA22)),Info!$AO$7:$AO$17,1)=DATE($E$1,5,DAY($AA22)),VLOOKUP(DATE($E$1,5,DAY($AA22)),Info!$AO$7:$AP$17,2,),"")&amp;IF(VLOOKUP(DATE($E$1,5,DAY($AA22)),Info!$AO$19:$AO$30,1)=DATE($E$1,5,DAY($AA22)),VLOOKUP(DATE($E$1,5,DAY($AA22)),Info!$AO$19:$AP$30,2,),"")</f>
        <v/>
      </c>
      <c r="AG22" s="72" t="str">
        <f>IF(VLOOKUP(DATE($E$1,6,DAY($AA22)),Info!$AO$19:$AO$30,1)=DATE($E$1,6,DAY($AA22)),VLOOKUP(DATE($E$1,6,DAY($AA22)),Info!$AO$19:$AP$30,2,),"")</f>
        <v/>
      </c>
      <c r="AH22" s="72" t="str">
        <f>IF(VLOOKUP(DATE($E$1,7,DAY($AA22)),Info!$AO$19:$AO$30,1)=DATE($E$1,7,DAY($AA22)),VLOOKUP(DATE($E$1,7,DAY($AA22)),Info!$AO$19:$AP$30,2,),"")</f>
        <v/>
      </c>
      <c r="AI22" s="72" t="str">
        <f>IF(VLOOKUP(DATE($E$1,8,DAY($AA22)),Info!$AO$19:$AO$30,1)=DATE($E$1,8,DAY($AA22)),VLOOKUP(DATE($E$1,8,DAY($AA22)),Info!$AO$19:$AP$30,2,),"")</f>
        <v/>
      </c>
      <c r="AJ22" s="72" t="str">
        <f>IF(VLOOKUP(DATE($E$1,9,DAY($AA22)),Info!$AO$19:$AO$30,1)=DATE($E$1,9,DAY($AA22)),VLOOKUP(DATE($E$1,9,DAY($AA22)),Info!$AO$19:$AP$30,2,),"")</f>
        <v/>
      </c>
      <c r="AK22" s="72" t="str">
        <f>IF(VLOOKUP(DATE($E$1,10,DAY($AA22)),Info!$AO$19:$AO$30,1)=DATE($E$1,10,DAY($AA22)),VLOOKUP(DATE($E$1,10,DAY($AA22)),Info!$AO$19:$AP$30,2,),"")</f>
        <v/>
      </c>
      <c r="AL22" s="72" t="str">
        <f>IF(VLOOKUP(DATE($E$1,11,DAY($AA22)),Info!$AO$19:$AO$30,1)=DATE($E$1,11,DAY($AA22)),VLOOKUP(DATE($E$1,11,DAY($AA22)),Info!$AO$19:$AP$30,2,),"")</f>
        <v/>
      </c>
      <c r="AM22" s="72" t="str">
        <f>IF(VLOOKUP(DATE($E$1,12,DAY($AA22)),Info!$AO$19:$AO$30,1)=DATE($E$1,12,DAY($AA22)),VLOOKUP(DATE($E$1,12,DAY($AA22)),Info!$AO$19:$AP$30,2,),"")</f>
        <v/>
      </c>
      <c r="AN22" s="67"/>
      <c r="AO22" s="142">
        <f>LARGE(Dager!$G$18:$G$48,9)</f>
        <v>4</v>
      </c>
      <c r="AP22" s="136" t="str">
        <f>VLOOKUP(AO22,Dager!$G$18:$H$48,2,FALSE)</f>
        <v/>
      </c>
    </row>
    <row r="23" spans="1:43" x14ac:dyDescent="0.2">
      <c r="A23" s="427" t="s">
        <v>24</v>
      </c>
      <c r="B23" s="426" t="s">
        <v>75</v>
      </c>
      <c r="C23" s="297"/>
      <c r="D23" s="297"/>
      <c r="E23" s="297"/>
      <c r="F23" s="297"/>
      <c r="G23" s="297"/>
      <c r="H23" s="128"/>
      <c r="J23" s="152">
        <f>Des!E54</f>
        <v>0</v>
      </c>
      <c r="K23" s="156" t="str">
        <f>"permisjonsdag"&amp;IF(J23&lt;&gt;1,"er","")</f>
        <v>permisjonsdager</v>
      </c>
      <c r="AA23" s="70">
        <f t="shared" si="0"/>
        <v>41656</v>
      </c>
      <c r="AB23" s="72" t="str">
        <f>IF(VLOOKUP(DATE($E$1,1,DAY($AA23)),Info!$AO$19:$AO$30,1)=DATE($E$1,1,DAY($AA23)),VLOOKUP(DATE($E$1,1,DAY($AA23)),Info!$AO$19:$AP$30,2,),"")</f>
        <v/>
      </c>
      <c r="AC23" s="72" t="str">
        <f>IF(VLOOKUP(DATE($E$1,2,DAY($AA23)),Info!$AO$7:$AO$17,1)=DATE($E$1,2,DAY($AA23)),VLOOKUP(DATE($E$1,2,DAY($AA23)),Info!$AO$7:$AP$17,2,),"")&amp;IF(VLOOKUP(DATE($E$1,2,DAY($AA23)),Info!$AO$19:$AO$30,1)=DATE($E$1,2,DAY($AA23)),VLOOKUP(DATE($E$1,2,DAY($AA23)),Info!$AO$19:$AP$30,2,),"")</f>
        <v/>
      </c>
      <c r="AD23" s="72" t="str">
        <f>IF(VLOOKUP(DATE($E$1,3,DAY($AA23)),Info!$AO$7:$AO$17,1)=DATE($E$1,3,DAY($AA23)),VLOOKUP(DATE($E$1,3,DAY($AA23)),Info!$AO$7:$AP$17,2,),"")&amp;IF(VLOOKUP(DATE($E$1,3,DAY($AA23)),Info!$AO$19:$AO$30,1)=DATE($E$1,3,DAY($AA23)),VLOOKUP(DATE($E$1,3,DAY($AA23)),Info!$AO$19:$AP$30,2,),"")</f>
        <v/>
      </c>
      <c r="AE23" s="72" t="str">
        <f>IF(VLOOKUP(DATE($E$1,4,DAY($AA23)),Info!$AO$7:$AO$17,1)=DATE($E$1,4,DAY($AA23)),VLOOKUP(DATE($E$1,4,DAY($AA23)),Info!$AO$7:$AP$17,2,),"")&amp;IF(VLOOKUP(DATE($E$1,4,DAY($AA23)),Info!$AO$19:$AO$30,1)=DATE($E$1,4,DAY($AA23)),VLOOKUP(DATE($E$1,4,DAY($AA23)),Info!$AO$19:$AP$30,2,),"")</f>
        <v>Skjærtorsdag</v>
      </c>
      <c r="AF23" s="72" t="str">
        <f>"Nasjonaldag"&amp;IF(VLOOKUP(DATE($E$1,5,DAY($AA23)),Info!$AO$7:$AO$17,1)=DATE($E$1,5,DAY($AA23))," · "&amp;VLOOKUP(DATE($E$1,5,DAY($AA23)),Info!$AO$7:$AP$17,2,),"")&amp;IF(VLOOKUP(DATE($E$1,5,DAY($AA23)),Info!$AO$19:$AO$30,1)=DATE($E$1,5,DAY($AA23)),VLOOKUP(DATE($E$1,5,DAY($AA23)),Info!$AO$19:$AP$30,2,),"")</f>
        <v>Nasjonaldag</v>
      </c>
      <c r="AG23" s="72" t="str">
        <f>"Nasjonaldag Island"&amp;IF(VLOOKUP(DATE($E$1,6,DAY($AA23)),Info!$AO$19:$AO$30,1)=DATE($E$1,6,DAY($AA23)),VLOOKUP(DATE($E$1,6,DAY($AA23)),Info!$AO$19:$AP$30,2,),"")</f>
        <v>Nasjonaldag Island</v>
      </c>
      <c r="AH23" s="72" t="str">
        <f>IF(VLOOKUP(DATE($E$1,7,DAY($AA23)),Info!$AO$19:$AO$30,1)=DATE($E$1,7,DAY($AA23)),VLOOKUP(DATE($E$1,7,DAY($AA23)),Info!$AO$19:$AP$30,2,),"")</f>
        <v/>
      </c>
      <c r="AI23" s="72" t="str">
        <f>IF(VLOOKUP(DATE($E$1,8,DAY($AA23)),Info!$AO$19:$AO$30,1)=DATE($E$1,8,DAY($AA23)),VLOOKUP(DATE($E$1,8,DAY($AA23)),Info!$AO$19:$AP$30,2,),"")</f>
        <v/>
      </c>
      <c r="AJ23" s="72" t="str">
        <f>IF(VLOOKUP(DATE($E$1,9,DAY($AA23)),Info!$AO$19:$AO$30,1)=DATE($E$1,9,DAY($AA23)),VLOOKUP(DATE($E$1,9,DAY($AA23)),Info!$AO$19:$AP$30,2,),"")</f>
        <v/>
      </c>
      <c r="AK23" s="72" t="str">
        <f>IF(VLOOKUP(DATE($E$1,10,DAY($AA23)),Info!$AO$19:$AO$30,1)=DATE($E$1,10,DAY($AA23)),VLOOKUP(DATE($E$1,10,DAY($AA23)),Info!$AO$19:$AP$30,2,),"")</f>
        <v/>
      </c>
      <c r="AL23" s="72" t="str">
        <f>IF(VLOOKUP(DATE($E$1,11,DAY($AA23)),Info!$AO$19:$AO$30,1)=DATE($E$1,11,DAY($AA23)),VLOOKUP(DATE($E$1,11,DAY($AA23)),Info!$AO$19:$AP$30,2,),"")</f>
        <v/>
      </c>
      <c r="AM23" s="72" t="str">
        <f>IF(VLOOKUP(DATE($E$1,12,DAY($AA23)),Info!$AO$19:$AO$30,1)=DATE($E$1,12,DAY($AA23)),VLOOKUP(DATE($E$1,12,DAY($AA23)),Info!$AO$19:$AP$30,2,),"")</f>
        <v/>
      </c>
      <c r="AN23" s="67"/>
      <c r="AO23" s="142">
        <f>LARGE(Dager!$G$18:$G$48,8)</f>
        <v>5</v>
      </c>
      <c r="AP23" s="136" t="str">
        <f>VLOOKUP(AO23,Dager!$G$18:$H$48,2,FALSE)</f>
        <v/>
      </c>
    </row>
    <row r="24" spans="1:43" x14ac:dyDescent="0.2">
      <c r="A24" s="298" t="s">
        <v>25</v>
      </c>
      <c r="B24" s="297" t="s">
        <v>47</v>
      </c>
      <c r="C24" s="297"/>
      <c r="D24" s="297"/>
      <c r="E24" s="297"/>
      <c r="F24" s="297"/>
      <c r="G24" s="297"/>
      <c r="H24" s="130"/>
      <c r="J24" s="78"/>
      <c r="K24" s="78"/>
      <c r="AA24" s="70">
        <f t="shared" si="0"/>
        <v>41657</v>
      </c>
      <c r="AB24" s="72" t="str">
        <f>IF(VLOOKUP(DATE($E$1,1,DAY($AA24)),Info!$AO$19:$AO$30,1)=DATE($E$1,1,DAY($AA24)),VLOOKUP(DATE($E$1,1,DAY($AA24)),Info!$AO$19:$AP$30,2,),"")</f>
        <v/>
      </c>
      <c r="AC24" s="72" t="str">
        <f>IF(VLOOKUP(DATE($E$1,2,DAY($AA24)),Info!$AO$7:$AO$17,1)=DATE($E$1,2,DAY($AA24)),VLOOKUP(DATE($E$1,2,DAY($AA24)),Info!$AO$7:$AP$17,2,),"")&amp;IF(VLOOKUP(DATE($E$1,2,DAY($AA24)),Info!$AO$19:$AO$30,1)=DATE($E$1,2,DAY($AA24)),VLOOKUP(DATE($E$1,2,DAY($AA24)),Info!$AO$19:$AP$30,2,),"")</f>
        <v/>
      </c>
      <c r="AD24" s="72" t="str">
        <f>IF(VLOOKUP(DATE($E$1,3,DAY($AA24)),Info!$AO$7:$AO$17,1)=DATE($E$1,3,DAY($AA24)),VLOOKUP(DATE($E$1,3,DAY($AA24)),Info!$AO$7:$AP$17,2,),"")&amp;IF(VLOOKUP(DATE($E$1,3,DAY($AA24)),Info!$AO$19:$AO$30,1)=DATE($E$1,3,DAY($AA24)),VLOOKUP(DATE($E$1,3,DAY($AA24)),Info!$AO$19:$AP$30,2,),"")</f>
        <v/>
      </c>
      <c r="AE24" s="72" t="str">
        <f>IF(VLOOKUP(DATE($E$1,4,DAY($AA24)),Info!$AO$7:$AO$17,1)=DATE($E$1,4,DAY($AA24)),VLOOKUP(DATE($E$1,4,DAY($AA24)),Info!$AO$7:$AP$17,2,),"")&amp;IF(VLOOKUP(DATE($E$1,4,DAY($AA24)),Info!$AO$19:$AO$30,1)=DATE($E$1,4,DAY($AA24)),VLOOKUP(DATE($E$1,4,DAY($AA24)),Info!$AO$19:$AP$30,2,),"")</f>
        <v>Langfredag</v>
      </c>
      <c r="AF24" s="72" t="str">
        <f>IF(VLOOKUP(DATE($E$1,5,DAY($AA24)),Info!$AO$7:$AO$17,1)=DATE($E$1,5,DAY($AA24)),VLOOKUP(DATE($E$1,5,DAY($AA24)),Info!$AO$7:$AP$17,2,),"")&amp;IF(VLOOKUP(DATE($E$1,5,DAY($AA24)),Info!$AO$19:$AO$30,1)=DATE($E$1,5,DAY($AA24)),VLOOKUP(DATE($E$1,5,DAY($AA24)),Info!$AO$19:$AP$30,2,),"")</f>
        <v/>
      </c>
      <c r="AG24" s="72" t="str">
        <f>IF(VLOOKUP(DATE($E$1,6,DAY($AA24)),Info!$AO$19:$AO$30,1)=DATE($E$1,6,DAY($AA24)),VLOOKUP(DATE($E$1,6,DAY($AA24)),Info!$AO$19:$AP$30,2,),"")</f>
        <v/>
      </c>
      <c r="AH24" s="72" t="str">
        <f>IF(VLOOKUP(DATE($E$1,7,DAY($AA24)),Info!$AO$19:$AO$30,1)=DATE($E$1,7,DAY($AA24)),VLOOKUP(DATE($E$1,7,DAY($AA24)),Info!$AO$19:$AP$30,2,),"")</f>
        <v/>
      </c>
      <c r="AI24" s="72" t="str">
        <f>IF(VLOOKUP(DATE($E$1,8,DAY($AA24)),Info!$AO$19:$AO$30,1)=DATE($E$1,8,DAY($AA24)),VLOOKUP(DATE($E$1,8,DAY($AA24)),Info!$AO$19:$AP$30,2,),"")</f>
        <v/>
      </c>
      <c r="AJ24" s="72" t="str">
        <f>IF(VLOOKUP(DATE($E$1,9,DAY($AA24)),Info!$AO$19:$AO$30,1)=DATE($E$1,9,DAY($AA24)),VLOOKUP(DATE($E$1,9,DAY($AA24)),Info!$AO$19:$AP$30,2,),"")</f>
        <v/>
      </c>
      <c r="AK24" s="72" t="str">
        <f>IF(VLOOKUP(DATE($E$1,10,DAY($AA24)),Info!$AO$19:$AO$30,1)=DATE($E$1,10,DAY($AA24)),VLOOKUP(DATE($E$1,10,DAY($AA24)),Info!$AO$19:$AP$30,2,),"")</f>
        <v/>
      </c>
      <c r="AL24" s="72" t="str">
        <f>IF(VLOOKUP(DATE($E$1,11,DAY($AA24)),Info!$AO$19:$AO$30,1)=DATE($E$1,11,DAY($AA24)),VLOOKUP(DATE($E$1,11,DAY($AA24)),Info!$AO$19:$AP$30,2,),"")</f>
        <v/>
      </c>
      <c r="AM24" s="72" t="str">
        <f>IF(VLOOKUP(DATE($E$1,12,DAY($AA24)),Info!$AO$19:$AO$30,1)=DATE($E$1,12,DAY($AA24)),VLOOKUP(DATE($E$1,12,DAY($AA24)),Info!$AO$19:$AP$30,2,),"")</f>
        <v/>
      </c>
      <c r="AN24" s="67"/>
      <c r="AO24" s="142">
        <f>LARGE(Dager!$G$18:$G$48,7)</f>
        <v>6</v>
      </c>
      <c r="AP24" s="136" t="str">
        <f>VLOOKUP(AO24,Dager!$G$18:$H$48,2,FALSE)</f>
        <v/>
      </c>
    </row>
    <row r="25" spans="1:43" x14ac:dyDescent="0.2">
      <c r="A25" s="298" t="s">
        <v>26</v>
      </c>
      <c r="B25" s="297" t="s">
        <v>228</v>
      </c>
      <c r="C25" s="297"/>
      <c r="D25" s="297"/>
      <c r="E25" s="297"/>
      <c r="F25" s="297"/>
      <c r="G25" s="297"/>
      <c r="H25" s="130"/>
      <c r="J25" s="78"/>
      <c r="K25" s="78"/>
      <c r="AA25" s="70">
        <f t="shared" si="0"/>
        <v>41658</v>
      </c>
      <c r="AB25" s="72" t="str">
        <f>IF(VLOOKUP(DATE($E$1,1,DAY($AA25)),Info!$AO$19:$AO$30,1)=DATE($E$1,1,DAY($AA25)),VLOOKUP(DATE($E$1,1,DAY($AA25)),Info!$AO$19:$AP$30,2,),"")</f>
        <v/>
      </c>
      <c r="AC25" s="72" t="str">
        <f>IF(VLOOKUP(DATE($E$1,2,DAY($AA25)),Info!$AO$7:$AO$17,1)=DATE($E$1,2,DAY($AA25)),VLOOKUP(DATE($E$1,2,DAY($AA25)),Info!$AO$7:$AP$17,2,),"")&amp;IF(VLOOKUP(DATE($E$1,2,DAY($AA25)),Info!$AO$19:$AO$30,1)=DATE($E$1,2,DAY($AA25)),VLOOKUP(DATE($E$1,2,DAY($AA25)),Info!$AO$19:$AP$30,2,),"")</f>
        <v/>
      </c>
      <c r="AD25" s="72" t="str">
        <f>IF(VLOOKUP(DATE($E$1,3,DAY($AA25)),Info!$AO$7:$AO$17,1)=DATE($E$1,3,DAY($AA25)),VLOOKUP(DATE($E$1,3,DAY($AA25)),Info!$AO$7:$AP$17,2,),"")&amp;IF(VLOOKUP(DATE($E$1,3,DAY($AA25)),Info!$AO$19:$AO$30,1)=DATE($E$1,3,DAY($AA25)),VLOOKUP(DATE($E$1,3,DAY($AA25)),Info!$AO$19:$AP$30,2,),"")</f>
        <v/>
      </c>
      <c r="AE25" s="72" t="str">
        <f>IF(VLOOKUP(DATE($E$1,4,DAY($AA25)),Info!$AO$7:$AO$17,1)=DATE($E$1,4,DAY($AA25)),VLOOKUP(DATE($E$1,4,DAY($AA25)),Info!$AO$7:$AP$17,2,),"")&amp;IF(VLOOKUP(DATE($E$1,4,DAY($AA25)),Info!$AO$19:$AO$30,1)=DATE($E$1,4,DAY($AA25)),VLOOKUP(DATE($E$1,4,DAY($AA25)),Info!$AO$19:$AP$30,2,),"")</f>
        <v/>
      </c>
      <c r="AF25" s="72" t="str">
        <f>IF(VLOOKUP(DATE($E$1,5,DAY($AA25)),Info!$AO$7:$AO$17,1)=DATE($E$1,5,DAY($AA25)),VLOOKUP(DATE($E$1,5,DAY($AA25)),Info!$AO$7:$AP$17,2,),"")&amp;IF(VLOOKUP(DATE($E$1,5,DAY($AA25)),Info!$AO$19:$AO$30,1)=DATE($E$1,5,DAY($AA25)),VLOOKUP(DATE($E$1,5,DAY($AA25)),Info!$AO$19:$AP$30,2,),"")</f>
        <v/>
      </c>
      <c r="AG25" s="72" t="str">
        <f>IF(VLOOKUP(DATE($E$1,6,DAY($AA25)),Info!$AO$19:$AO$30,1)=DATE($E$1,6,DAY($AA25)),VLOOKUP(DATE($E$1,6,DAY($AA25)),Info!$AO$19:$AP$30,2,),"")</f>
        <v/>
      </c>
      <c r="AH25" s="72" t="str">
        <f>IF(VLOOKUP(DATE($E$1,7,DAY($AA25)),Info!$AO$19:$AO$30,1)=DATE($E$1,7,DAY($AA25)),VLOOKUP(DATE($E$1,7,DAY($AA25)),Info!$AO$19:$AP$30,2,),"")</f>
        <v/>
      </c>
      <c r="AI25" s="72" t="str">
        <f>"Mette Marit "&amp; E1-1973&amp;IF(VLOOKUP(DATE($E$1,8,DAY($AA25)),Info!$AO$19:$AO$30,1)=DATE($E$1,8,DAY($AA25)),VLOOKUP(DATE($E$1,8,DAY($AA25)),Info!$AO$19:$AP$30,2,),"")</f>
        <v>Mette Marit 41</v>
      </c>
      <c r="AJ25" s="72" t="str">
        <f>IF(VLOOKUP(DATE($E$1,9,DAY($AA25)),Info!$AO$19:$AO$30,1)=DATE($E$1,9,DAY($AA25)),VLOOKUP(DATE($E$1,9,DAY($AA25)),Info!$AO$19:$AP$30,2,),"")</f>
        <v/>
      </c>
      <c r="AK25" s="72" t="str">
        <f>IF(VLOOKUP(DATE($E$1,10,DAY($AA25)),Info!$AO$19:$AO$30,1)=DATE($E$1,10,DAY($AA25)),VLOOKUP(DATE($E$1,10,DAY($AA25)),Info!$AO$19:$AP$30,2,),"")</f>
        <v/>
      </c>
      <c r="AL25" s="72" t="str">
        <f>IF(VLOOKUP(DATE($E$1,11,DAY($AA25)),Info!$AO$19:$AO$30,1)=DATE($E$1,11,DAY($AA25)),VLOOKUP(DATE($E$1,11,DAY($AA25)),Info!$AO$19:$AP$30,2,),"")</f>
        <v/>
      </c>
      <c r="AM25" s="72" t="str">
        <f>IF(VLOOKUP(DATE($E$1,12,DAY($AA25)),Info!$AO$19:$AO$30,1)=DATE($E$1,12,DAY($AA25)),VLOOKUP(DATE($E$1,12,DAY($AA25)),Info!$AO$19:$AP$30,2,),"")</f>
        <v/>
      </c>
      <c r="AN25" s="67"/>
      <c r="AO25" s="142">
        <f>LARGE(Dager!$G$18:$G$48,6)</f>
        <v>7</v>
      </c>
      <c r="AP25" s="136" t="str">
        <f>VLOOKUP(AO25,Dager!$G$18:$H$48,2,FALSE)</f>
        <v/>
      </c>
    </row>
    <row r="26" spans="1:43" x14ac:dyDescent="0.2">
      <c r="A26" s="427" t="s">
        <v>76</v>
      </c>
      <c r="B26" s="425" t="s">
        <v>227</v>
      </c>
      <c r="H26" s="127"/>
      <c r="I26" s="74"/>
      <c r="J26" s="74"/>
      <c r="K26" s="74"/>
      <c r="AA26" s="70">
        <f t="shared" si="0"/>
        <v>41659</v>
      </c>
      <c r="AB26" s="72" t="str">
        <f>IF(VLOOKUP(DATE($E$1,1,DAY($AA26)),Info!$AO$19:$AO$30,1)=DATE($E$1,1,DAY($AA26)),VLOOKUP(DATE($E$1,1,DAY($AA26)),Info!$AO$19:$AP$30,2,),"")</f>
        <v/>
      </c>
      <c r="AC26" s="72" t="str">
        <f>IF(VLOOKUP(DATE($E$1,2,DAY($AA26)),Info!$AO$7:$AO$17,1)=DATE($E$1,2,DAY($AA26)),VLOOKUP(DATE($E$1,2,DAY($AA26)),Info!$AO$7:$AP$17,2,),"")&amp;IF(VLOOKUP(DATE($E$1,2,DAY($AA26)),Info!$AO$19:$AO$30,1)=DATE($E$1,2,DAY($AA26)),VLOOKUP(DATE($E$1,2,DAY($AA26)),Info!$AO$19:$AP$30,2,),"")</f>
        <v/>
      </c>
      <c r="AD26" s="72" t="str">
        <f>IF(VLOOKUP(DATE($E$1,3,DAY($AA26)),Info!$AO$7:$AO$17,1)=DATE($E$1,3,DAY($AA26)),VLOOKUP(DATE($E$1,3,DAY($AA26)),Info!$AO$7:$AP$17,2,),"")&amp;IF(VLOOKUP(DATE($E$1,3,DAY($AA26)),Info!$AO$19:$AO$30,1)=DATE($E$1,3,DAY($AA26)),VLOOKUP(DATE($E$1,3,DAY($AA26)),Info!$AO$19:$AP$30,2,),"")</f>
        <v/>
      </c>
      <c r="AE26" s="72" t="str">
        <f>IF(VLOOKUP(DATE($E$1,4,DAY($AA26)),Info!$AO$7:$AO$17,1)=DATE($E$1,4,DAY($AA26)),VLOOKUP(DATE($E$1,4,DAY($AA26)),Info!$AO$7:$AP$17,2,),"")&amp;IF(VLOOKUP(DATE($E$1,4,DAY($AA26)),Info!$AO$19:$AO$30,1)=DATE($E$1,4,DAY($AA26)),VLOOKUP(DATE($E$1,4,DAY($AA26)),Info!$AO$19:$AP$30,2,),"")</f>
        <v>1. påskedag</v>
      </c>
      <c r="AF26" s="72" t="str">
        <f>IF(VLOOKUP(DATE($E$1,5,DAY($AA26)),Info!$AO$7:$AO$17,1)=DATE($E$1,5,DAY($AA26)),VLOOKUP(DATE($E$1,5,DAY($AA26)),Info!$AO$7:$AP$17,2,),"")&amp;IF(VLOOKUP(DATE($E$1,5,DAY($AA26)),Info!$AO$19:$AO$30,1)=DATE($E$1,5,DAY($AA26)),VLOOKUP(DATE($E$1,5,DAY($AA26)),Info!$AO$19:$AP$30,2,),"")</f>
        <v/>
      </c>
      <c r="AG26" s="72" t="str">
        <f>IF(VLOOKUP(DATE($E$1,6,DAY($AA26)),Info!$AO$19:$AO$30,1)=DATE($E$1,6,DAY($AA26)),VLOOKUP(DATE($E$1,6,DAY($AA26)),Info!$AO$19:$AP$30,2,),"")</f>
        <v/>
      </c>
      <c r="AH26" s="72" t="str">
        <f>"Haakon Magnus "&amp; E1-1973&amp;IF(VLOOKUP(DATE($E$1,7,DAY($AA26)),Info!$AO$19:$AO$30,1)=DATE($E$1,7,DAY($AA26)),VLOOKUP(DATE($E$1,7,DAY($AA26)),Info!$AO$19:$AP$30,2,),"")</f>
        <v>Haakon Magnus 41</v>
      </c>
      <c r="AI26" s="72" t="str">
        <f>IF(VLOOKUP(DATE($E$1,8,DAY($AA26)),Info!$AO$19:$AO$30,1)=DATE($E$1,8,DAY($AA26)),VLOOKUP(DATE($E$1,8,DAY($AA26)),Info!$AO$19:$AP$30,2,),"")</f>
        <v/>
      </c>
      <c r="AJ26" s="72" t="str">
        <f>IF(VLOOKUP(DATE($E$1,9,DAY($AA26)),Info!$AO$19:$AO$30,1)=DATE($E$1,9,DAY($AA26)),VLOOKUP(DATE($E$1,9,DAY($AA26)),Info!$AO$19:$AP$30,2,),"")</f>
        <v/>
      </c>
      <c r="AK26" s="72" t="str">
        <f>IF(VLOOKUP(DATE($E$1,10,DAY($AA26)),Info!$AO$19:$AO$30,1)=DATE($E$1,10,DAY($AA26)),VLOOKUP(DATE($E$1,10,DAY($AA26)),Info!$AO$19:$AP$30,2,),"")</f>
        <v/>
      </c>
      <c r="AL26" s="72" t="str">
        <f>IF(VLOOKUP(DATE($E$1,11,DAY($AA26)),Info!$AO$19:$AO$30,1)=DATE($E$1,11,DAY($AA26)),VLOOKUP(DATE($E$1,11,DAY($AA26)),Info!$AO$19:$AP$30,2,),"")</f>
        <v/>
      </c>
      <c r="AM26" s="72" t="str">
        <f>IF(VLOOKUP(DATE($E$1,12,DAY($AA26)),Info!$AO$19:$AO$30,1)=DATE($E$1,12,DAY($AA26)),VLOOKUP(DATE($E$1,12,DAY($AA26)),Info!$AO$19:$AP$30,2,),"")</f>
        <v/>
      </c>
      <c r="AN26" s="67"/>
      <c r="AO26" s="142">
        <f>LARGE(Dager!$G$18:$G$48,5)</f>
        <v>8</v>
      </c>
      <c r="AP26" s="136" t="str">
        <f>VLOOKUP(AO26,Dager!$G$18:$H$48,2,FALSE)</f>
        <v/>
      </c>
    </row>
    <row r="27" spans="1:43" x14ac:dyDescent="0.2">
      <c r="A27" s="298" t="s">
        <v>197</v>
      </c>
      <c r="B27" s="443" t="s">
        <v>210</v>
      </c>
      <c r="C27" s="443"/>
      <c r="D27" s="443"/>
      <c r="E27" s="443"/>
      <c r="F27" s="443"/>
      <c r="G27" s="443"/>
      <c r="H27" s="127"/>
      <c r="I27" s="74"/>
      <c r="J27" s="74"/>
      <c r="K27" s="74"/>
      <c r="AA27" s="70">
        <f t="shared" si="0"/>
        <v>41660</v>
      </c>
      <c r="AB27" s="72" t="str">
        <f>"Ingrid Alexandra "&amp;E1-2004&amp;IF(VLOOKUP(DATE($E$1,1,DAY($AA27)),Info!$AO$19:$AO$30,1)=DATE($E$1,1,DAY($AA27)),VLOOKUP(DATE($E$1,1,DAY($AA27)),Info!$AO$19:$AP$30,2,),"")</f>
        <v>Ingrid Alexandra 10</v>
      </c>
      <c r="AC27" s="72" t="str">
        <f>"Harald "&amp;E1-1937&amp;IF(VLOOKUP(DATE($E$1,2,DAY($AA27)),Info!$AO$7:$AO$17,1)=DATE($E$1,2,DAY($AA27))," · "&amp;VLOOKUP(DATE($E$1,2,DAY($AA27)),Info!$AO$7:$AP$17,2,),"")&amp;IF(VLOOKUP(DATE($E$1,2,DAY($AA27)),Info!$AO$19:$AO$30,1)=DATE($E$1,2,DAY($AA27)),VLOOKUP(DATE($E$1,2,DAY($AA27)),Info!$AO$19:$AP$30,2,),"")</f>
        <v>Harald 77</v>
      </c>
      <c r="AD27" s="72" t="str">
        <f>IF(VLOOKUP(DATE($E$1,3,DAY($AA27)),Info!$AO$7:$AO$17,1)=DATE($E$1,3,DAY($AA27)),VLOOKUP(DATE($E$1,3,DAY($AA27)),Info!$AO$7:$AP$17,2,),"")&amp;IF(VLOOKUP(DATE($E$1,3,DAY($AA27)),Info!$AO$19:$AO$30,1)=DATE($E$1,3,DAY($AA27)),VLOOKUP(DATE($E$1,3,DAY($AA27)),Info!$AO$19:$AP$30,2,),"")</f>
        <v/>
      </c>
      <c r="AE27" s="72" t="str">
        <f>IF(VLOOKUP(DATE($E$1,4,DAY($AA27)),Info!$AO$7:$AO$17,1)=DATE($E$1,4,DAY($AA27)),VLOOKUP(DATE($E$1,4,DAY($AA27)),Info!$AO$7:$AP$17,2,),"")&amp;IF(VLOOKUP(DATE($E$1,4,DAY($AA27)),Info!$AO$19:$AO$30,1)=DATE($E$1,4,DAY($AA27)),VLOOKUP(DATE($E$1,4,DAY($AA27)),Info!$AO$19:$AP$30,2,),"")</f>
        <v>2. påskedag</v>
      </c>
      <c r="AF27" s="72" t="str">
        <f>IF(VLOOKUP(DATE($E$1,5,DAY($AA27)),Info!$AO$7:$AO$17,1)=DATE($E$1,5,DAY($AA27)),VLOOKUP(DATE($E$1,5,DAY($AA27)),Info!$AO$7:$AP$17,2,),"")&amp;IF(VLOOKUP(DATE($E$1,5,DAY($AA27)),Info!$AO$19:$AO$30,1)=DATE($E$1,5,DAY($AA27)),VLOOKUP(DATE($E$1,5,DAY($AA27)),Info!$AO$19:$AP$30,2,),"")</f>
        <v/>
      </c>
      <c r="AG27" s="72" t="str">
        <f>IF(VLOOKUP(DATE($E$1,6,DAY($AA27)),Info!$AO$19:$AO$30,1)=DATE($E$1,6,DAY($AA27)),VLOOKUP(DATE($E$1,6,DAY($AA27)),Info!$AO$19:$AP$30,2,),"")</f>
        <v/>
      </c>
      <c r="AH27" s="72" t="str">
        <f>IF(VLOOKUP(DATE($E$1,7,DAY($AA27)),Info!$AO$19:$AO$30,1)=DATE($E$1,7,DAY($AA27)),VLOOKUP(DATE($E$1,7,DAY($AA27)),Info!$AO$19:$AP$30,2,),"")</f>
        <v/>
      </c>
      <c r="AI27" s="72" t="str">
        <f>IF(VLOOKUP(DATE($E$1,8,DAY($AA27)),Info!$AO$19:$AO$30,1)=DATE($E$1,8,DAY($AA27)),VLOOKUP(DATE($E$1,8,DAY($AA27)),Info!$AO$19:$AP$30,2,),"")</f>
        <v/>
      </c>
      <c r="AJ27" s="72" t="str">
        <f>IF(VLOOKUP(DATE($E$1,9,DAY($AA27)),Info!$AO$19:$AO$30,1)=DATE($E$1,9,DAY($AA27)),VLOOKUP(DATE($E$1,9,DAY($AA27)),Info!$AO$19:$AP$30,2,),"")</f>
        <v/>
      </c>
      <c r="AK27" s="72" t="str">
        <f>IF(VLOOKUP(DATE($E$1,10,DAY($AA27)),Info!$AO$19:$AO$30,1)=DATE($E$1,10,DAY($AA27)),VLOOKUP(DATE($E$1,10,DAY($AA27)),Info!$AO$19:$AP$30,2,),"")</f>
        <v/>
      </c>
      <c r="AL27" s="72" t="str">
        <f>IF(VLOOKUP(DATE($E$1,11,DAY($AA27)),Info!$AO$19:$AO$30,1)=DATE($E$1,11,DAY($AA27)),VLOOKUP(DATE($E$1,11,DAY($AA27)),Info!$AO$19:$AP$30,2,),"")</f>
        <v/>
      </c>
      <c r="AM27" s="72" t="str">
        <f>IF(VLOOKUP(DATE($E$1,12,DAY($AA27)),Info!$AO$19:$AO$30,1)=DATE($E$1,12,DAY($AA27)),VLOOKUP(DATE($E$1,12,DAY($AA27)),Info!$AO$19:$AP$30,2,),"")</f>
        <v/>
      </c>
      <c r="AN27" s="67"/>
      <c r="AO27" s="142">
        <f>LARGE(Dager!$G$18:$G$48,4)</f>
        <v>9</v>
      </c>
      <c r="AP27" s="136" t="str">
        <f>VLOOKUP(AO27,Dager!$G$18:$H$48,2,FALSE)</f>
        <v/>
      </c>
    </row>
    <row r="28" spans="1:43" x14ac:dyDescent="0.2">
      <c r="A28" s="428" t="s">
        <v>209</v>
      </c>
      <c r="B28" s="299" t="s">
        <v>211</v>
      </c>
      <c r="H28" s="131"/>
      <c r="I28" s="74"/>
      <c r="J28" s="74"/>
      <c r="K28" s="74"/>
      <c r="AA28" s="70">
        <f t="shared" si="0"/>
        <v>41661</v>
      </c>
      <c r="AB28" s="72" t="str">
        <f>IF(VLOOKUP(DATE($E$1,1,DAY($AA28)),Info!$AO$19:$AO$30,1)=DATE($E$1,1,DAY($AA28)),VLOOKUP(DATE($E$1,1,DAY($AA28)),Info!$AO$19:$AP$30,2,),"")</f>
        <v/>
      </c>
      <c r="AC28" s="72" t="str">
        <f>IF(VLOOKUP(DATE($E$1,2,DAY($AA28)),Info!$AO$7:$AO$17,1)=DATE($E$1,2,DAY($AA28)),VLOOKUP(DATE($E$1,2,DAY($AA28)),Info!$AO$7:$AP$17,2,),"")&amp;IF(VLOOKUP(DATE($E$1,2,DAY($AA28)),Info!$AO$19:$AO$30,1)=DATE($E$1,2,DAY($AA28)),VLOOKUP(DATE($E$1,2,DAY($AA28)),Info!$AO$19:$AP$30,2,),"")</f>
        <v/>
      </c>
      <c r="AD28" s="72" t="str">
        <f>IF(VLOOKUP(DATE($E$1,3,DAY($AA28)),Info!$AO$7:$AO$17,1)=DATE($E$1,3,DAY($AA28)),VLOOKUP(DATE($E$1,3,DAY($AA28)),Info!$AO$7:$AP$17,2,),"")&amp;IF(VLOOKUP(DATE($E$1,3,DAY($AA28)),Info!$AO$19:$AO$30,1)=DATE($E$1,3,DAY($AA28)),VLOOKUP(DATE($E$1,3,DAY($AA28)),Info!$AO$19:$AP$30,2,),"")</f>
        <v/>
      </c>
      <c r="AE28" s="72" t="str">
        <f>IF(VLOOKUP(DATE($E$1,4,DAY($AA28)),Info!$AO$7:$AO$17,1)=DATE($E$1,4,DAY($AA28)),VLOOKUP(DATE($E$1,4,DAY($AA28)),Info!$AO$7:$AP$17,2,),"")&amp;IF(VLOOKUP(DATE($E$1,4,DAY($AA28)),Info!$AO$19:$AO$30,1)=DATE($E$1,4,DAY($AA28)),VLOOKUP(DATE($E$1,4,DAY($AA28)),Info!$AO$19:$AP$30,2,),"")</f>
        <v/>
      </c>
      <c r="AF28" s="72" t="str">
        <f>IF(VLOOKUP(DATE($E$1,5,DAY($AA28)),Info!$AO$7:$AO$17,1)=DATE($E$1,5,DAY($AA28)),VLOOKUP(DATE($E$1,5,DAY($AA28)),Info!$AO$7:$AP$17,2,),"")&amp;IF(VLOOKUP(DATE($E$1,5,DAY($AA28)),Info!$AO$19:$AO$30,1)=DATE($E$1,5,DAY($AA28)),VLOOKUP(DATE($E$1,5,DAY($AA28)),Info!$AO$19:$AP$30,2,),"")</f>
        <v/>
      </c>
      <c r="AG28" s="72" t="str">
        <f>IF(VLOOKUP(DATE($E$1,6,DAY($AA28)),Info!$AO$19:$AO$30,1)=DATE($E$1,6,DAY($AA28)),VLOOKUP(DATE($E$1,6,DAY($AA28)),Info!$AO$19:$AP$30,2,),"")</f>
        <v/>
      </c>
      <c r="AH28" s="72" t="str">
        <f>IF(VLOOKUP(DATE($E$1,7,DAY($AA28)),Info!$AO$19:$AO$30,1)=DATE($E$1,7,DAY($AA28)),VLOOKUP(DATE($E$1,7,DAY($AA28)),Info!$AO$19:$AP$30,2,),"")</f>
        <v/>
      </c>
      <c r="AI28" s="72" t="str">
        <f>IF(VLOOKUP(DATE($E$1,8,DAY($AA28)),Info!$AO$19:$AO$30,1)=DATE($E$1,8,DAY($AA28)),VLOOKUP(DATE($E$1,8,DAY($AA28)),Info!$AO$19:$AP$30,2,),"")</f>
        <v/>
      </c>
      <c r="AJ28" s="72" t="str">
        <f>IF(VLOOKUP(DATE($E$1,9,DAY($AA28)),Info!$AO$19:$AO$30,1)=DATE($E$1,9,DAY($AA28)),VLOOKUP(DATE($E$1,9,DAY($AA28)),Info!$AO$19:$AP$30,2,),"")</f>
        <v/>
      </c>
      <c r="AK28" s="72" t="str">
        <f>IF(VLOOKUP(DATE($E$1,10,DAY($AA28)),Info!$AO$19:$AO$30,1)=DATE($E$1,10,DAY($AA28)),VLOOKUP(DATE($E$1,10,DAY($AA28)),Info!$AO$19:$AP$30,2,),"")</f>
        <v/>
      </c>
      <c r="AL28" s="72" t="str">
        <f>IF(VLOOKUP(DATE($E$1,11,DAY($AA28)),Info!$AO$19:$AO$30,1)=DATE($E$1,11,DAY($AA28)),VLOOKUP(DATE($E$1,11,DAY($AA28)),Info!$AO$19:$AP$30,2,),"")</f>
        <v/>
      </c>
      <c r="AM28" s="72" t="str">
        <f>IF(VLOOKUP(DATE($E$1,12,DAY($AA28)),Info!$AO$19:$AO$30,1)=DATE($E$1,12,DAY($AA28)),VLOOKUP(DATE($E$1,12,DAY($AA28)),Info!$AO$19:$AP$30,2,),"")</f>
        <v/>
      </c>
      <c r="AN28" s="67"/>
      <c r="AO28" s="142">
        <f>LARGE(Dager!$G$18:$G$48,3)</f>
        <v>10</v>
      </c>
      <c r="AP28" s="136" t="str">
        <f>VLOOKUP(AO28,Dager!$G$18:$H$48,2,FALSE)</f>
        <v/>
      </c>
    </row>
    <row r="29" spans="1:43" s="62" customFormat="1" x14ac:dyDescent="0.2">
      <c r="A29" s="424" t="s">
        <v>226</v>
      </c>
      <c r="B29" s="299" t="s">
        <v>198</v>
      </c>
      <c r="C29" s="298"/>
      <c r="D29" s="298"/>
      <c r="E29" s="298"/>
      <c r="F29" s="298"/>
      <c r="G29" s="298"/>
      <c r="H29" s="132"/>
      <c r="I29" s="74"/>
      <c r="J29" s="74"/>
      <c r="K29" s="74"/>
      <c r="L29" s="259"/>
      <c r="AA29" s="70">
        <f t="shared" si="0"/>
        <v>41662</v>
      </c>
      <c r="AB29" s="72" t="str">
        <f>IF(VLOOKUP(DATE($E$1,1,DAY($AA29)),Info!$AO$19:$AO$30,1)=DATE($E$1,1,DAY($AA29)),VLOOKUP(DATE($E$1,1,DAY($AA29)),Info!$AO$19:$AP$30,2,),"")</f>
        <v/>
      </c>
      <c r="AC29" s="72" t="str">
        <f>IF(VLOOKUP(DATE($E$1,2,DAY($AA29)),Info!$AO$7:$AO$17,1)=DATE($E$1,2,DAY($AA29)),VLOOKUP(DATE($E$1,2,DAY($AA29)),Info!$AO$7:$AP$17,2,),"")&amp;IF(VLOOKUP(DATE($E$1,2,DAY($AA29)),Info!$AO$19:$AO$30,1)=DATE($E$1,2,DAY($AA29)),VLOOKUP(DATE($E$1,2,DAY($AA29)),Info!$AO$19:$AP$30,2,),"")</f>
        <v/>
      </c>
      <c r="AD29" s="72" t="str">
        <f>IF(WEEKDAY(DATE($E$1,3,DAY(AA29)),2)=6,"Sommertid - klokka 1 time fram i natt","")&amp;IF(VLOOKUP(DATE($E$1,3,DAY($AA29)),Info!$AO$7:$AO$17,1)=DATE($E$1,3,DAY($AA29)),VLOOKUP(DATE($E$1,3,DAY($AA29)),Info!$AO$7:$AP$17,2,),"")&amp;IF(VLOOKUP(DATE($E$1,3,DAY($AA29)),Info!$AO$19:$AO$30,1)=DATE($E$1,3,DAY($AA29)),VLOOKUP(DATE($E$1,3,DAY($AA29)),Info!$AO$19:$AP$30,2,),"")</f>
        <v/>
      </c>
      <c r="AE29" s="72" t="str">
        <f>IF(VLOOKUP(DATE($E$1,4,DAY($AA29)),Info!$AO$7:$AO$17,1)=DATE($E$1,4,DAY($AA29)),VLOOKUP(DATE($E$1,4,DAY($AA29)),Info!$AO$7:$AP$17,2,),"")&amp;IF(VLOOKUP(DATE($E$1,4,DAY($AA29)),Info!$AO$19:$AO$30,1)=DATE($E$1,4,DAY($AA29)),VLOOKUP(DATE($E$1,4,DAY($AA29)),Info!$AO$19:$AP$30,2,),"")</f>
        <v/>
      </c>
      <c r="AF29" s="72" t="str">
        <f>IF(VLOOKUP(DATE($E$1,5,DAY($AA29)),Info!$AO$7:$AO$17,1)=DATE($E$1,5,DAY($AA29)),VLOOKUP(DATE($E$1,5,DAY($AA29)),Info!$AO$7:$AP$17,2,),"")&amp;IF(VLOOKUP(DATE($E$1,5,DAY($AA29)),Info!$AO$19:$AO$30,1)=DATE($E$1,5,DAY($AA29)),VLOOKUP(DATE($E$1,5,DAY($AA29)),Info!$AO$19:$AP$30,2,),"")</f>
        <v/>
      </c>
      <c r="AG29" s="72" t="str">
        <f>"St. Hansaften"&amp;IF(VLOOKUP(DATE($E$1,6,DAY($AA29)),Info!$AO$19:$AO$30,1)=DATE($E$1,6,DAY($AA29)),VLOOKUP(DATE($E$1,6,DAY($AA29)),Info!$AO$19:$AP$30,2,),"")</f>
        <v>St. Hansaften</v>
      </c>
      <c r="AH29" s="72" t="str">
        <f>IF(VLOOKUP(DATE($E$1,7,DAY($AA29)),Info!$AO$19:$AO$30,1)=DATE($E$1,7,DAY($AA29)),VLOOKUP(DATE($E$1,7,DAY($AA29)),Info!$AO$19:$AP$30,2,),"")</f>
        <v/>
      </c>
      <c r="AI29" s="72" t="str">
        <f>IF(VLOOKUP(DATE($E$1,8,DAY($AA29)),Info!$AO$19:$AO$30,1)=DATE($E$1,8,DAY($AA29)),VLOOKUP(DATE($E$1,8,DAY($AA29)),Info!$AO$19:$AP$30,2,),"")</f>
        <v/>
      </c>
      <c r="AJ29" s="72" t="str">
        <f>IF(VLOOKUP(DATE($E$1,9,DAY($AA29)),Info!$AO$19:$AO$30,1)=DATE($E$1,9,DAY($AA29)),VLOOKUP(DATE($E$1,9,DAY($AA29)),Info!$AO$19:$AP$30,2,),"")</f>
        <v/>
      </c>
      <c r="AK29" s="72" t="str">
        <f>IF(VLOOKUP(DATE($E$1,10,DAY($AA29)),Info!$AO$19:$AO$30,1)=DATE($E$1,10,DAY($AA29)),VLOOKUP(DATE($E$1,10,DAY($AA29)),Info!$AO$19:$AP$30,2,),"")</f>
        <v/>
      </c>
      <c r="AL29" s="72" t="str">
        <f>IF(VLOOKUP(DATE($E$1,11,DAY($AA29)),Info!$AO$19:$AO$30,1)=DATE($E$1,11,DAY($AA29)),VLOOKUP(DATE($E$1,11,DAY($AA29)),Info!$AO$19:$AP$30,2,),"")</f>
        <v/>
      </c>
      <c r="AM29" s="72" t="str">
        <f>IF(VLOOKUP(DATE($E$1,12,DAY($AA29)),Info!$AO$19:$AO$30,1)=DATE($E$1,12,DAY($AA29)),VLOOKUP(DATE($E$1,12,DAY($AA29)),Info!$AO$19:$AP$30,2,),"")</f>
        <v/>
      </c>
      <c r="AN29" s="76"/>
      <c r="AO29" s="142">
        <f>LARGE(Dager!$G$18:$G$48,2)</f>
        <v>11</v>
      </c>
      <c r="AP29" s="136" t="str">
        <f>VLOOKUP(AO29,Dager!$G$18:$H$48,2,FALSE)</f>
        <v/>
      </c>
    </row>
    <row r="30" spans="1:43" x14ac:dyDescent="0.2">
      <c r="H30" s="128"/>
      <c r="I30" s="25"/>
      <c r="J30" s="25"/>
      <c r="K30" s="25"/>
      <c r="AA30" s="70">
        <f t="shared" si="0"/>
        <v>41663</v>
      </c>
      <c r="AB30" s="72" t="str">
        <f>IF(VLOOKUP(DATE($E$1,1,DAY($AA30)),Info!$AO$19:$AO$30,1)=DATE($E$1,1,DAY($AA30)),VLOOKUP(DATE($E$1,1,DAY($AA30)),Info!$AO$19:$AP$30,2,),"")</f>
        <v/>
      </c>
      <c r="AC30" s="72" t="str">
        <f>IF(VLOOKUP(DATE($E$1,2,DAY($AA30)),Info!$AO$7:$AO$17,1)=DATE($E$1,2,DAY($AA30)),VLOOKUP(DATE($E$1,2,DAY($AA30)),Info!$AO$7:$AP$17,2,),"")&amp;IF(VLOOKUP(DATE($E$1,2,DAY($AA30)),Info!$AO$19:$AO$30,1)=DATE($E$1,2,DAY($AA30)),VLOOKUP(DATE($E$1,2,DAY($AA30)),Info!$AO$19:$AP$30,2,),"")</f>
        <v/>
      </c>
      <c r="AD30" s="72" t="str">
        <f>IF(WEEKDAY(DATE($E$1,3,DAY(AA30)),2)=6,"Sommertid - klokka 1 time fram i natt","")&amp;IF(VLOOKUP(DATE($E$1,3,DAY($AA30)),Info!$AO$7:$AO$17,1)=DATE($E$1,3,DAY($AA30)),VLOOKUP(DATE($E$1,3,DAY($AA30)),Info!$AO$7:$AP$17,2,),"")&amp;IF(VLOOKUP(DATE($E$1,3,DAY($AA30)),Info!$AO$19:$AO$30,1)=DATE($E$1,3,DAY($AA30)),VLOOKUP(DATE($E$1,3,DAY($AA30)),Info!$AO$19:$AP$30,2,),"")</f>
        <v/>
      </c>
      <c r="AE30" s="72" t="str">
        <f>IF(VLOOKUP(DATE($E$1,4,DAY($AA30)),Info!$AO$7:$AO$17,1)=DATE($E$1,4,DAY($AA30)),VLOOKUP(DATE($E$1,4,DAY($AA30)),Info!$AO$7:$AP$17,2,),"")&amp;IF(VLOOKUP(DATE($E$1,4,DAY($AA30)),Info!$AO$19:$AO$30,1)=DATE($E$1,4,DAY($AA30)),VLOOKUP(DATE($E$1,4,DAY($AA30)),Info!$AO$19:$AP$30,2,),"")</f>
        <v/>
      </c>
      <c r="AF30" s="72" t="str">
        <f>IF(VLOOKUP(DATE($E$1,5,DAY($AA30)),Info!$AO$7:$AO$17,1)=DATE($E$1,5,DAY($AA30)),VLOOKUP(DATE($E$1,5,DAY($AA30)),Info!$AO$7:$AP$17,2,),"")&amp;IF(VLOOKUP(DATE($E$1,5,DAY($AA30)),Info!$AO$19:$AO$30,1)=DATE($E$1,5,DAY($AA30)),VLOOKUP(DATE($E$1,5,DAY($AA30)),Info!$AO$19:$AP$30,2,),"")</f>
        <v/>
      </c>
      <c r="AG30" s="72" t="str">
        <f>IF(VLOOKUP(DATE($E$1,6,DAY($AA30)),Info!$AO$19:$AO$30,1)=DATE($E$1,6,DAY($AA30)),VLOOKUP(DATE($E$1,6,DAY($AA30)),Info!$AO$19:$AP$30,2,),"")</f>
        <v/>
      </c>
      <c r="AH30" s="72" t="str">
        <f>IF(VLOOKUP(DATE($E$1,7,DAY($AA30)),Info!$AO$19:$AO$30,1)=DATE($E$1,7,DAY($AA30)),VLOOKUP(DATE($E$1,7,DAY($AA30)),Info!$AO$19:$AP$30,2,),"")</f>
        <v/>
      </c>
      <c r="AI30" s="72" t="str">
        <f>IF(VLOOKUP(DATE($E$1,8,DAY($AA30)),Info!$AO$19:$AO$30,1)=DATE($E$1,8,DAY($AA30)),VLOOKUP(DATE($E$1,8,DAY($AA30)),Info!$AO$19:$AP$30,2,),"")</f>
        <v/>
      </c>
      <c r="AJ30" s="72" t="str">
        <f>IF(WEEKDAY(DATE($E$1,9,DAY(AA30)),2)=4,"Fårikålens dag (Norges nasjonalrett)","")&amp;IF(VLOOKUP(DATE($E$1,9,DAY($AA30)),Info!$AO$19:$AO$30,1)=DATE($E$1,9,DAY($AA30)),VLOOKUP(DATE($E$1,9,DAY($AA30)),Info!$AO$19:$AP$30,2,),"")</f>
        <v/>
      </c>
      <c r="AK30" s="72" t="str">
        <f>IF(WEEKDAY(DATE($E$1,10,DAY(AA30)),2)=6,"Normaltid - klokka 1 time tilbake i natt","")&amp;IF(VLOOKUP(DATE($E$1,10,DAY($AA30)),Info!$AO$19:$AO$30,1)=DATE($E$1,10,DAY($AA30)),VLOOKUP(DATE($E$1,10,DAY($AA30)),Info!$AO$19:$AP$30,2,),"")</f>
        <v/>
      </c>
      <c r="AL30" s="72" t="str">
        <f>IF(VLOOKUP(DATE($E$1,11,DAY($AA30)),Info!$AO$19:$AO$30,1)=DATE($E$1,11,DAY($AA30)),VLOOKUP(DATE($E$1,11,DAY($AA30)),Info!$AO$19:$AP$30,2,),"")</f>
        <v/>
      </c>
      <c r="AM30" s="72" t="str">
        <f>"Juleaften / halv dag"&amp;IF(VLOOKUP(DATE($E$1,12,DAY($AA30)),Info!$AO$19:$AO$30,1)=DATE($E$1,12,DAY($AA30)),VLOOKUP(DATE($E$1,12,DAY($AA30)),Info!$AO$19:$AP$30,2,),"")</f>
        <v>Juleaften / halv dag</v>
      </c>
      <c r="AN30" s="67"/>
      <c r="AO30" s="142">
        <f>LARGE(Dager!$G$18:$G$48,1)</f>
        <v>42004</v>
      </c>
      <c r="AP30" s="136" t="str">
        <f>VLOOKUP(AO30,Dager!$G$18:$H$48,2,FALSE)</f>
        <v xml:space="preserve"> · Fødselsdag 114</v>
      </c>
    </row>
    <row r="31" spans="1:43" x14ac:dyDescent="0.2">
      <c r="A31" s="64" t="s">
        <v>67</v>
      </c>
      <c r="B31" s="64"/>
      <c r="C31" s="64"/>
      <c r="D31" s="64"/>
      <c r="E31" s="64"/>
      <c r="F31" s="64"/>
      <c r="G31" s="64"/>
      <c r="H31" s="128"/>
      <c r="I31" s="25"/>
      <c r="J31" s="25"/>
      <c r="K31" s="25"/>
      <c r="AA31" s="70">
        <f t="shared" si="0"/>
        <v>41664</v>
      </c>
      <c r="AB31" s="72" t="str">
        <f>IF(VLOOKUP(DATE($E$1,1,DAY($AA31)),Info!$AO$19:$AO$30,1)=DATE($E$1,1,DAY($AA31)),VLOOKUP(DATE($E$1,1,DAY($AA31)),Info!$AO$19:$AP$30,2,),"")</f>
        <v/>
      </c>
      <c r="AC31" s="72" t="str">
        <f>IF(VLOOKUP(DATE($E$1,2,DAY($AA31)),Info!$AO$7:$AO$17,1)=DATE($E$1,2,DAY($AA31)),VLOOKUP(DATE($E$1,2,DAY($AA31)),Info!$AO$7:$AP$17,2,),"")&amp;IF(VLOOKUP(DATE($E$1,2,DAY($AA31)),Info!$AO$19:$AO$30,1)=DATE($E$1,2,DAY($AA31)),VLOOKUP(DATE($E$1,2,DAY($AA31)),Info!$AO$19:$AP$30,2,),"")</f>
        <v/>
      </c>
      <c r="AD31" s="72" t="str">
        <f>IF(WEEKDAY(DATE($E$1,3,DAY(AA31)),2)=6,"Sommertid - klokka 1 time fram i natt","")&amp;IF(VLOOKUP(DATE($E$1,3,DAY($AA31)),Info!$AO$7:$AO$17,1)=DATE($E$1,3,DAY($AA31)),VLOOKUP(DATE($E$1,3,DAY($AA31)),Info!$AO$7:$AP$17,2,),"")&amp;IF(VLOOKUP(DATE($E$1,3,DAY($AA31)),Info!$AO$19:$AO$30,1)=DATE($E$1,3,DAY($AA31)),VLOOKUP(DATE($E$1,3,DAY($AA31)),Info!$AO$19:$AP$30,2,),"")</f>
        <v/>
      </c>
      <c r="AE31" s="72" t="str">
        <f>IF(VLOOKUP(DATE($E$1,4,DAY($AA31)),Info!$AO$7:$AO$17,1)=DATE($E$1,4,DAY($AA31)),VLOOKUP(DATE($E$1,4,DAY($AA31)),Info!$AO$7:$AP$17,2,),"")&amp;IF(VLOOKUP(DATE($E$1,4,DAY($AA31)),Info!$AO$19:$AO$30,1)=DATE($E$1,4,DAY($AA31)),VLOOKUP(DATE($E$1,4,DAY($AA31)),Info!$AO$19:$AP$30,2,),"")</f>
        <v/>
      </c>
      <c r="AF31" s="72" t="str">
        <f>IF(VLOOKUP(DATE($E$1,5,DAY($AA31)),Info!$AO$7:$AO$17,1)=DATE($E$1,5,DAY($AA31)),VLOOKUP(DATE($E$1,5,DAY($AA31)),Info!$AO$7:$AP$17,2,),"")&amp;IF(VLOOKUP(DATE($E$1,5,DAY($AA31)),Info!$AO$19:$AO$30,1)=DATE($E$1,5,DAY($AA31)),VLOOKUP(DATE($E$1,5,DAY($AA31)),Info!$AO$19:$AP$30,2,),"")</f>
        <v/>
      </c>
      <c r="AG31" s="72" t="str">
        <f>IF(VLOOKUP(DATE($E$1,6,DAY($AA31)),Info!$AO$19:$AO$30,1)=DATE($E$1,6,DAY($AA31)),VLOOKUP(DATE($E$1,6,DAY($AA31)),Info!$AO$19:$AP$30,2,),"")</f>
        <v/>
      </c>
      <c r="AH31" s="72" t="str">
        <f>IF(VLOOKUP(DATE($E$1,7,DAY($AA31)),Info!$AO$19:$AO$30,1)=DATE($E$1,7,DAY($AA31)),VLOOKUP(DATE($E$1,7,DAY($AA31)),Info!$AO$19:$AP$30,2,),"")</f>
        <v/>
      </c>
      <c r="AI31" s="72" t="str">
        <f>IF(VLOOKUP(DATE($E$1,8,DAY($AA31)),Info!$AO$19:$AO$30,1)=DATE($E$1,8,DAY($AA31)),VLOOKUP(DATE($E$1,8,DAY($AA31)),Info!$AO$19:$AP$30,2,),"")</f>
        <v/>
      </c>
      <c r="AJ31" s="72" t="str">
        <f>IF(WEEKDAY(DATE($E$1,9,DAY(AA31)),2)=4,"Fårikålens dag (Norges nasjonalrett)","")&amp;IF(VLOOKUP(DATE($E$1,9,DAY($AA31)),Info!$AO$19:$AO$30,1)=DATE($E$1,9,DAY($AA31)),VLOOKUP(DATE($E$1,9,DAY($AA31)),Info!$AO$19:$AP$30,2,),"")</f>
        <v>Fårikålens dag (Norges nasjonalrett)</v>
      </c>
      <c r="AK31" s="72" t="str">
        <f>IF(WEEKDAY(DATE($E$1,10,DAY(AA31)),2)=6,"Normaltid - klokka 1 time tilbake i natt","")&amp;IF(VLOOKUP(DATE($E$1,10,DAY($AA31)),Info!$AO$19:$AO$30,1)=DATE($E$1,10,DAY($AA31)),VLOOKUP(DATE($E$1,10,DAY($AA31)),Info!$AO$19:$AP$30,2,),"")</f>
        <v>Normaltid - klokka 1 time tilbake i natt</v>
      </c>
      <c r="AL31" s="72" t="str">
        <f>IF(VLOOKUP(DATE($E$1,11,DAY($AA31)),Info!$AO$19:$AO$30,1)=DATE($E$1,11,DAY($AA31)),VLOOKUP(DATE($E$1,11,DAY($AA31)),Info!$AO$19:$AP$30,2,),"")</f>
        <v/>
      </c>
      <c r="AM31" s="72" t="str">
        <f>"1. juledag"&amp;IF(VLOOKUP(DATE($E$1,12,DAY($AA31)),Info!$AO$19:$AO$30,1)=DATE($E$1,12,DAY($AA31)),VLOOKUP(DATE($E$1,12,DAY($AA31)),Info!$AO$19:$AP$30,2,),"")</f>
        <v>1. juledag</v>
      </c>
      <c r="AN31" s="67"/>
    </row>
    <row r="32" spans="1:43" x14ac:dyDescent="0.2">
      <c r="A32" s="298"/>
      <c r="B32" s="300" t="s">
        <v>199</v>
      </c>
      <c r="C32" s="301" t="s">
        <v>69</v>
      </c>
      <c r="D32" s="298"/>
      <c r="E32" s="300" t="s">
        <v>200</v>
      </c>
      <c r="F32" s="301" t="s">
        <v>72</v>
      </c>
      <c r="H32" s="83"/>
      <c r="I32" s="74"/>
      <c r="J32" s="74"/>
      <c r="K32" s="16"/>
      <c r="AA32" s="70">
        <f t="shared" si="0"/>
        <v>41665</v>
      </c>
      <c r="AB32" s="72" t="str">
        <f>IF(VLOOKUP(DATE($E$1,1,DAY($AA32)),Info!$AO$19:$AO$30,1)=DATE($E$1,1,DAY($AA32)),VLOOKUP(DATE($E$1,1,DAY($AA32)),Info!$AO$19:$AP$30,2,),"")</f>
        <v/>
      </c>
      <c r="AC32" s="72" t="str">
        <f>IF(VLOOKUP(DATE($E$1,2,DAY($AA32)),Info!$AO$7:$AO$17,1)=DATE($E$1,2,DAY($AA32)),VLOOKUP(DATE($E$1,2,DAY($AA32)),Info!$AO$7:$AP$17,2,),"")&amp;IF(VLOOKUP(DATE($E$1,2,DAY($AA32)),Info!$AO$19:$AO$30,1)=DATE($E$1,2,DAY($AA32)),VLOOKUP(DATE($E$1,2,DAY($AA32)),Info!$AO$19:$AP$30,2,),"")</f>
        <v/>
      </c>
      <c r="AD32" s="72" t="str">
        <f>IF(WEEKDAY(DATE($E$1,3,DAY(AA32)),2)=6,"Sommertid - klokka 1 time fram i natt","")&amp;IF(VLOOKUP(DATE($E$1,3,DAY($AA32)),Info!$AO$7:$AO$17,1)=DATE($E$1,3,DAY($AA32)),VLOOKUP(DATE($E$1,3,DAY($AA32)),Info!$AO$7:$AP$17,2,),"")&amp;IF(VLOOKUP(DATE($E$1,3,DAY($AA32)),Info!$AO$19:$AO$30,1)=DATE($E$1,3,DAY($AA32)),VLOOKUP(DATE($E$1,3,DAY($AA32)),Info!$AO$19:$AP$30,2,),"")</f>
        <v/>
      </c>
      <c r="AE32" s="72" t="str">
        <f>IF(VLOOKUP(DATE($E$1,4,DAY($AA32)),Info!$AO$7:$AO$17,1)=DATE($E$1,4,DAY($AA32)),VLOOKUP(DATE($E$1,4,DAY($AA32)),Info!$AO$7:$AP$17,2,),"")&amp;IF(VLOOKUP(DATE($E$1,4,DAY($AA32)),Info!$AO$19:$AO$30,1)=DATE($E$1,4,DAY($AA32)),VLOOKUP(DATE($E$1,4,DAY($AA32)),Info!$AO$19:$AP$30,2,),"")</f>
        <v/>
      </c>
      <c r="AF32" s="72" t="str">
        <f>IF(VLOOKUP(DATE($E$1,5,DAY($AA32)),Info!$AO$7:$AO$17,1)=DATE($E$1,5,DAY($AA32)),VLOOKUP(DATE($E$1,5,DAY($AA32)),Info!$AO$7:$AP$17,2,),"")&amp;IF(VLOOKUP(DATE($E$1,5,DAY($AA32)),Info!$AO$19:$AO$30,1)=DATE($E$1,5,DAY($AA32)),VLOOKUP(DATE($E$1,5,DAY($AA32)),Info!$AO$19:$AP$30,2,),"")</f>
        <v/>
      </c>
      <c r="AG32" s="72" t="str">
        <f>IF(VLOOKUP(DATE($E$1,6,DAY($AA32)),Info!$AO$19:$AO$30,1)=DATE($E$1,6,DAY($AA32)),VLOOKUP(DATE($E$1,6,DAY($AA32)),Info!$AO$19:$AP$30,2,),"")</f>
        <v/>
      </c>
      <c r="AH32" s="72" t="str">
        <f>IF(VLOOKUP(DATE($E$1,7,DAY($AA32)),Info!$AO$19:$AO$30,1)=DATE($E$1,7,DAY($AA32)),VLOOKUP(DATE($E$1,7,DAY($AA32)),Info!$AO$19:$AP$30,2,),"")</f>
        <v/>
      </c>
      <c r="AI32" s="72" t="str">
        <f>IF(VLOOKUP(DATE($E$1,8,DAY($AA32)),Info!$AO$19:$AO$30,1)=DATE($E$1,8,DAY($AA32)),VLOOKUP(DATE($E$1,8,DAY($AA32)),Info!$AO$19:$AP$30,2,),"")</f>
        <v/>
      </c>
      <c r="AJ32" s="72" t="str">
        <f>IF(WEEKDAY(DATE($E$1,9,DAY(AA32)),2)=4,"Fårikålens dag (Norges nasjonalrett)","")&amp;IF(VLOOKUP(DATE($E$1,9,DAY($AA32)),Info!$AO$19:$AO$30,1)=DATE($E$1,9,DAY($AA32)),VLOOKUP(DATE($E$1,9,DAY($AA32)),Info!$AO$19:$AP$30,2,),"")</f>
        <v/>
      </c>
      <c r="AK32" s="72" t="str">
        <f>IF(WEEKDAY(DATE($E$1,10,DAY(AA32)),2)=6,"Normaltid - klokka 1 time tilbake i natt","")&amp;IF(VLOOKUP(DATE($E$1,10,DAY($AA32)),Info!$AO$19:$AO$30,1)=DATE($E$1,10,DAY($AA32)),VLOOKUP(DATE($E$1,10,DAY($AA32)),Info!$AO$19:$AP$30,2,),"")</f>
        <v/>
      </c>
      <c r="AL32" s="72" t="str">
        <f>IF(VLOOKUP(DATE($E$1,11,DAY($AA32)),Info!$AO$19:$AO$30,1)=DATE($E$1,11,DAY($AA32)),VLOOKUP(DATE($E$1,11,DAY($AA32)),Info!$AO$19:$AP$30,2,),"")</f>
        <v/>
      </c>
      <c r="AM32" s="72" t="str">
        <f>"2. juledag"&amp;IF(VLOOKUP(DATE($E$1,12,DAY($AA32)),Info!$AO$19:$AO$30,1)=DATE($E$1,12,DAY($AA32)),VLOOKUP(DATE($E$1,12,DAY($AA32)),Info!$AO$19:$AP$30,2,),"")</f>
        <v>2. juledag</v>
      </c>
      <c r="AN32" s="67"/>
    </row>
    <row r="33" spans="1:40" x14ac:dyDescent="0.2">
      <c r="A33" s="298"/>
      <c r="B33" s="300" t="s">
        <v>201</v>
      </c>
      <c r="C33" s="301" t="s">
        <v>70</v>
      </c>
      <c r="D33" s="298"/>
      <c r="E33" s="300" t="s">
        <v>202</v>
      </c>
      <c r="F33" s="301" t="s">
        <v>73</v>
      </c>
      <c r="H33" s="84"/>
      <c r="I33" s="85"/>
      <c r="J33" s="85"/>
      <c r="K33" s="85"/>
      <c r="AA33" s="70">
        <f t="shared" si="0"/>
        <v>41666</v>
      </c>
      <c r="AB33" s="72" t="str">
        <f>IF(VLOOKUP(DATE($E$1,1,DAY($AA33)),Info!$AO$19:$AO$30,1)=DATE($E$1,1,DAY($AA33)),VLOOKUP(DATE($E$1,1,DAY($AA33)),Info!$AO$19:$AP$30,2,),"")</f>
        <v/>
      </c>
      <c r="AC33" s="72" t="str">
        <f>IF(VLOOKUP(DATE($E$1,2,DAY($AA33)),Info!$AO$7:$AO$17,1)=DATE($E$1,2,DAY($AA33)),VLOOKUP(DATE($E$1,2,DAY($AA33)),Info!$AO$7:$AP$17,2,),"")&amp;IF(VLOOKUP(DATE($E$1,2,DAY($AA33)),Info!$AO$19:$AO$30,1)=DATE($E$1,2,DAY($AA33)),VLOOKUP(DATE($E$1,2,DAY($AA33)),Info!$AO$19:$AP$30,2,),"")</f>
        <v/>
      </c>
      <c r="AD33" s="72" t="str">
        <f>IF(WEEKDAY(DATE($E$1,3,DAY(AA33)),2)=6,"Sommertid - klokka 1 time fram i natt","")&amp;IF(VLOOKUP(DATE($E$1,3,DAY($AA33)),Info!$AO$7:$AO$17,1)=DATE($E$1,3,DAY($AA33)),VLOOKUP(DATE($E$1,3,DAY($AA33)),Info!$AO$7:$AP$17,2,),"")&amp;IF(VLOOKUP(DATE($E$1,3,DAY($AA33)),Info!$AO$19:$AO$30,1)=DATE($E$1,3,DAY($AA33)),VLOOKUP(DATE($E$1,3,DAY($AA33)),Info!$AO$19:$AP$30,2,),"")</f>
        <v/>
      </c>
      <c r="AE33" s="72" t="str">
        <f>IF(VLOOKUP(DATE($E$1,4,DAY($AA33)),Info!$AO$19:$AO$30,1)=DATE($E$1,4,DAY($AA33)),VLOOKUP(DATE($E$1,4,DAY($AA33)),Info!$AO$19:$AP$30,2,),"")</f>
        <v/>
      </c>
      <c r="AF33" s="72" t="str">
        <f>IF(VLOOKUP(DATE($E$1,5,DAY($AA33)),Info!$AO$7:$AO$17,1)=DATE($E$1,5,DAY($AA33)),VLOOKUP(DATE($E$1,5,DAY($AA33)),Info!$AO$7:$AP$17,2,),"")&amp;IF(VLOOKUP(DATE($E$1,5,DAY($AA33)),Info!$AO$19:$AO$30,1)=DATE($E$1,5,DAY($AA33)),VLOOKUP(DATE($E$1,5,DAY($AA33)),Info!$AO$19:$AP$30,2,),"")</f>
        <v/>
      </c>
      <c r="AG33" s="72" t="str">
        <f>IF(VLOOKUP(DATE($E$1,6,DAY($AA33)),Info!$AO$19:$AO$30,1)=DATE($E$1,6,DAY($AA33)),VLOOKUP(DATE($E$1,6,DAY($AA33)),Info!$AO$19:$AP$30,2,),"")</f>
        <v/>
      </c>
      <c r="AH33" s="72" t="str">
        <f>IF(VLOOKUP(DATE($E$1,7,DAY($AA33)),Info!$AO$19:$AO$30,1)=DATE($E$1,7,DAY($AA33)),VLOOKUP(DATE($E$1,7,DAY($AA33)),Info!$AO$19:$AP$30,2,),"")</f>
        <v/>
      </c>
      <c r="AI33" s="72" t="str">
        <f>IF(VLOOKUP(DATE($E$1,8,DAY($AA33)),Info!$AO$19:$AO$30,1)=DATE($E$1,8,DAY($AA33)),VLOOKUP(DATE($E$1,8,DAY($AA33)),Info!$AO$19:$AP$30,2,),"")</f>
        <v/>
      </c>
      <c r="AJ33" s="72" t="str">
        <f>IF(WEEKDAY(DATE($E$1,9,DAY(AA33)),2)=4,"Fårikålens dag (Norges nasjonalrett)","")&amp;IF(VLOOKUP(DATE($E$1,9,DAY($AA33)),Info!$AO$19:$AO$30,1)=DATE($E$1,9,DAY($AA33)),VLOOKUP(DATE($E$1,9,DAY($AA33)),Info!$AO$19:$AP$30,2,),"")</f>
        <v/>
      </c>
      <c r="AK33" s="72" t="str">
        <f>IF(WEEKDAY(DATE($E$1,10,DAY(AA33)),2)=6,"Normaltid - klokka 1 time tilbake i natt","")&amp;IF(VLOOKUP(DATE($E$1,10,DAY($AA33)),Info!$AO$19:$AO$30,1)=DATE($E$1,10,DAY($AA33)),VLOOKUP(DATE($E$1,10,DAY($AA33)),Info!$AO$19:$AP$30,2,),"")</f>
        <v/>
      </c>
      <c r="AL33" s="72" t="str">
        <f>IF(VLOOKUP(DATE($E$1,11,DAY($AA33)),Info!$AO$19:$AO$30,1)=DATE($E$1,11,DAY($AA33)),VLOOKUP(DATE($E$1,11,DAY($AA33)),Info!$AO$19:$AP$30,2,),"")</f>
        <v/>
      </c>
      <c r="AM33" s="72" t="str">
        <f>IF(VLOOKUP(DATE($E$1,12,DAY($AA33)),Info!$AO$19:$AO$30,1)=DATE($E$1,12,DAY($AA33)),VLOOKUP(DATE($E$1,12,DAY($AA33)),Info!$AO$19:$AP$30,2,),"")</f>
        <v/>
      </c>
      <c r="AN33" s="67"/>
    </row>
    <row r="34" spans="1:40" x14ac:dyDescent="0.2">
      <c r="A34" s="298"/>
      <c r="B34" s="300" t="s">
        <v>203</v>
      </c>
      <c r="C34" s="301" t="s">
        <v>68</v>
      </c>
      <c r="D34" s="298"/>
      <c r="E34" s="300" t="s">
        <v>204</v>
      </c>
      <c r="F34" s="301" t="s">
        <v>74</v>
      </c>
      <c r="H34" s="84"/>
      <c r="I34" s="74"/>
      <c r="J34" s="74"/>
      <c r="K34" s="74"/>
      <c r="AA34" s="70">
        <f t="shared" si="0"/>
        <v>41667</v>
      </c>
      <c r="AB34" s="72" t="str">
        <f>IF(VLOOKUP(DATE($E$1,1,DAY($AA34)),Info!$AO$19:$AO$30,1)=DATE($E$1,1,DAY($AA34)),VLOOKUP(DATE($E$1,1,DAY($AA34)),Info!$AO$19:$AP$30,2,),"")</f>
        <v/>
      </c>
      <c r="AC34" s="72" t="str">
        <f>IF(VLOOKUP(DATE($E$1,2,DAY($AA34)),Info!$AO$7:$AO$17,1)=DATE($E$1,2,DAY($AA34)),VLOOKUP(DATE($E$1,2,DAY($AA34)),Info!$AO$7:$AP$17,2,),"")&amp;IF(VLOOKUP(DATE($E$1,2,DAY($AA34)),Info!$AO$19:$AO$30,1)=DATE($E$1,2,DAY($AA34)),VLOOKUP(DATE($E$1,2,DAY($AA34)),Info!$AO$19:$AP$30,2,),"")</f>
        <v/>
      </c>
      <c r="AD34" s="72" t="str">
        <f>IF(WEEKDAY(DATE($E$1,3,DAY(AA34)),2)=6,"Sommertid - klokka 1 time fram i natt","")&amp;IF(VLOOKUP(DATE($E$1,3,DAY($AA34)),Info!$AO$7:$AO$17,1)=DATE($E$1,3,DAY($AA34)),VLOOKUP(DATE($E$1,3,DAY($AA34)),Info!$AO$7:$AP$17,2,),"")&amp;IF(VLOOKUP(DATE($E$1,3,DAY($AA34)),Info!$AO$19:$AO$30,1)=DATE($E$1,3,DAY($AA34)),VLOOKUP(DATE($E$1,3,DAY($AA34)),Info!$AO$19:$AP$30,2,),"")</f>
        <v/>
      </c>
      <c r="AE34" s="72" t="str">
        <f>IF(VLOOKUP(DATE($E$1,4,DAY($AA34)),Info!$AO$19:$AO$30,1)=DATE($E$1,4,DAY($AA34)),VLOOKUP(DATE($E$1,4,DAY($AA34)),Info!$AO$19:$AP$30,2,),"")</f>
        <v/>
      </c>
      <c r="AF34" s="72" t="str">
        <f>IF(VLOOKUP(DATE($E$1,5,DAY($AA34)),Info!$AO$7:$AO$17,1)=DATE($E$1,5,DAY($AA34)),VLOOKUP(DATE($E$1,5,DAY($AA34)),Info!$AO$7:$AP$17,2,),"")&amp;IF(VLOOKUP(DATE($E$1,5,DAY($AA34)),Info!$AO$19:$AO$30,1)=DATE($E$1,5,DAY($AA34)),VLOOKUP(DATE($E$1,5,DAY($AA34)),Info!$AO$19:$AP$30,2,),"")</f>
        <v/>
      </c>
      <c r="AG34" s="72" t="str">
        <f>IF(VLOOKUP(DATE($E$1,6,DAY($AA34)),Info!$AO$19:$AO$30,1)=DATE($E$1,6,DAY($AA34)),VLOOKUP(DATE($E$1,6,DAY($AA34)),Info!$AO$19:$AP$30,2,),"")</f>
        <v/>
      </c>
      <c r="AH34" s="72" t="str">
        <f>IF(VLOOKUP(DATE($E$1,7,DAY($AA34)),Info!$AO$19:$AO$30,1)=DATE($E$1,7,DAY($AA34)),VLOOKUP(DATE($E$1,7,DAY($AA34)),Info!$AO$19:$AP$30,2,),"")</f>
        <v/>
      </c>
      <c r="AI34" s="72" t="str">
        <f>IF(VLOOKUP(DATE($E$1,8,DAY($AA34)),Info!$AO$19:$AO$30,1)=DATE($E$1,8,DAY($AA34)),VLOOKUP(DATE($E$1,8,DAY($AA34)),Info!$AO$19:$AP$30,2,),"")</f>
        <v/>
      </c>
      <c r="AJ34" s="72" t="str">
        <f>IF(WEEKDAY(DATE($E$1,9,DAY(AA34)),2)=4,"Fårikålens dag (Norges nasjonalrett)","")&amp;IF(VLOOKUP(DATE($E$1,9,DAY($AA34)),Info!$AO$19:$AO$30,1)=DATE($E$1,9,DAY($AA34)),VLOOKUP(DATE($E$1,9,DAY($AA34)),Info!$AO$19:$AP$30,2,),"")</f>
        <v/>
      </c>
      <c r="AK34" s="72" t="str">
        <f>IF(WEEKDAY(DATE($E$1,10,DAY(AA34)),2)=6,"Normaltid - klokka 1 time tilbake i natt","")&amp;IF(VLOOKUP(DATE($E$1,10,DAY($AA34)),Info!$AO$19:$AO$30,1)=DATE($E$1,10,DAY($AA34)),VLOOKUP(DATE($E$1,10,DAY($AA34)),Info!$AO$19:$AP$30,2,),"")</f>
        <v/>
      </c>
      <c r="AL34" s="72" t="str">
        <f>IF(VLOOKUP(DATE($E$1,11,DAY($AA34)),Info!$AO$19:$AO$30,1)=DATE($E$1,11,DAY($AA34)),VLOOKUP(DATE($E$1,11,DAY($AA34)),Info!$AO$19:$AP$30,2,),"")</f>
        <v/>
      </c>
      <c r="AM34" s="72" t="str">
        <f>IF(VLOOKUP(DATE($E$1,12,DAY($AA34)),Info!$AO$19:$AO$30,1)=DATE($E$1,12,DAY($AA34)),VLOOKUP(DATE($E$1,12,DAY($AA34)),Info!$AO$19:$AP$30,2,),"")</f>
        <v/>
      </c>
      <c r="AN34" s="67"/>
    </row>
    <row r="35" spans="1:40" x14ac:dyDescent="0.2">
      <c r="A35" s="298"/>
      <c r="B35" s="300" t="s">
        <v>205</v>
      </c>
      <c r="C35" s="301" t="s">
        <v>71</v>
      </c>
      <c r="D35" s="298"/>
      <c r="E35" s="298"/>
      <c r="F35" s="298"/>
      <c r="L35" s="260"/>
      <c r="AA35" s="70">
        <f t="shared" si="0"/>
        <v>41668</v>
      </c>
      <c r="AB35" s="72" t="str">
        <f>IF(VLOOKUP(DATE($E$1,1,DAY($AA35)),Info!$AO$19:$AO$30,1)=DATE($E$1,1,DAY($AA35)),VLOOKUP(DATE($E$1,1,DAY($AA35)),Info!$AO$19:$AP$30,2,),"")</f>
        <v/>
      </c>
      <c r="AC35" s="72" t="str">
        <f>IF(Dager!C14="Ja",IF(VLOOKUP(DATE($E$1,2,DAY($AA35)),Info!$AO$7:$AO$17,1)=DATE($E$1,2,DAY($AA35)),VLOOKUP(DATE($E$1,2,DAY($AA35)),Info!$AO$7:$AP$17,2,),"")&amp;IF(VLOOKUP(DATE($E$1,2,DAY($AA35)),Info!$AO$19:$AO$30,1)=DATE($E$1,2,DAY($AA35)),VLOOKUP(DATE($E$1,2,DAY($AA35)),Info!$AO$19:$AP$30,2,),""),"")</f>
        <v/>
      </c>
      <c r="AD35" s="72" t="str">
        <f>IF(WEEKDAY(DATE($E$1,3,DAY(AA35)),2)=6,"Sommertid - klokka 1 time fram i natt","")&amp;IF(VLOOKUP(DATE($E$1,3,DAY($AA35)),Info!$AO$7:$AO$17,1)=DATE($E$1,3,DAY($AA35)),VLOOKUP(DATE($E$1,3,DAY($AA35)),Info!$AO$7:$AP$17,2,),"")&amp;IF(VLOOKUP(DATE($E$1,3,DAY($AA35)),Info!$AO$19:$AO$30,1)=DATE($E$1,3,DAY($AA35)),VLOOKUP(DATE($E$1,3,DAY($AA35)),Info!$AO$19:$AP$30,2,),"")</f>
        <v>Sommertid - klokka 1 time fram i natt</v>
      </c>
      <c r="AE35" s="72" t="str">
        <f>IF(VLOOKUP(DATE($E$1,4,DAY($AA35)),Info!$AO$19:$AO$30,1)=DATE($E$1,4,DAY($AA35)),VLOOKUP(DATE($E$1,4,DAY($AA35)),Info!$AO$19:$AP$30,2,),"")</f>
        <v/>
      </c>
      <c r="AF35" s="72" t="str">
        <f>IF(VLOOKUP(DATE($E$1,5,DAY($AA35)),Info!$AO$7:$AO$17,1)=DATE($E$1,5,DAY($AA35)),VLOOKUP(DATE($E$1,5,DAY($AA35)),Info!$AO$7:$AP$17,2,),"")&amp;IF(VLOOKUP(DATE($E$1,5,DAY($AA35)),Info!$AO$19:$AO$30,1)=DATE($E$1,5,DAY($AA35)),VLOOKUP(DATE($E$1,5,DAY($AA35)),Info!$AO$19:$AP$30,2,),"")</f>
        <v>Kr. himmelfart</v>
      </c>
      <c r="AG35" s="72" t="str">
        <f>IF(VLOOKUP(DATE($E$1,6,DAY($AA35)),Info!$AO$19:$AO$30,1)=DATE($E$1,6,DAY($AA35)),VLOOKUP(DATE($E$1,6,DAY($AA35)),Info!$AO$19:$AP$30,2,),"")</f>
        <v/>
      </c>
      <c r="AH35" s="72" t="str">
        <f>"Olsok"&amp;IF(VLOOKUP(DATE($E$1,7,DAY($AA35)),Info!$AO$19:$AO$30,1)=DATE($E$1,7,DAY($AA35)),VLOOKUP(DATE($E$1,7,DAY($AA35)),Info!$AO$19:$AP$30,2,),"")</f>
        <v>Olsok</v>
      </c>
      <c r="AI35" s="72" t="str">
        <f>IF(VLOOKUP(DATE($E$1,8,DAY($AA35)),Info!$AO$19:$AO$30,1)=DATE($E$1,8,DAY($AA35)),VLOOKUP(DATE($E$1,8,DAY($AA35)),Info!$AO$19:$AP$30,2,),"")</f>
        <v/>
      </c>
      <c r="AJ35" s="72" t="str">
        <f>IF(WEEKDAY(DATE($E$1,9,DAY(AA35)),2)=4,"Fårikålens dag (Norges nasjonalrett)","")&amp;IF(VLOOKUP(DATE($E$1,9,DAY($AA35)),Info!$AO$19:$AO$30,1)=DATE($E$1,9,DAY($AA35)),VLOOKUP(DATE($E$1,9,DAY($AA35)),Info!$AO$19:$AP$30,2,),"")</f>
        <v/>
      </c>
      <c r="AK35" s="72" t="str">
        <f>IF(WEEKDAY(DATE($E$1,10,DAY(AA35)),2)=6,"Normaltid - klokka 1 time tilbake i natt","")&amp;IF(VLOOKUP(DATE($E$1,10,DAY($AA35)),Info!$AO$19:$AO$30,1)=DATE($E$1,10,DAY($AA35)),VLOOKUP(DATE($E$1,10,DAY($AA35)),Info!$AO$19:$AP$30,2,),"")</f>
        <v/>
      </c>
      <c r="AL35" s="72" t="str">
        <f>IF(VLOOKUP(DATE($E$1,11,DAY($AA35)),Info!$AO$19:$AO$30,1)=DATE($E$1,11,DAY($AA35)),VLOOKUP(DATE($E$1,11,DAY($AA35)),Info!$AO$19:$AP$30,2,),"")</f>
        <v/>
      </c>
      <c r="AM35" s="72" t="str">
        <f>IF(VLOOKUP(DATE($E$1,12,DAY($AA35)),Info!$AO$19:$AO$30,1)=DATE($E$1,12,DAY($AA35)),VLOOKUP(DATE($E$1,12,DAY($AA35)),Info!$AO$19:$AP$30,2,),"")</f>
        <v/>
      </c>
      <c r="AN35" s="67"/>
    </row>
    <row r="36" spans="1:40" x14ac:dyDescent="0.2">
      <c r="L36" s="260"/>
      <c r="AA36" s="70">
        <f t="shared" si="0"/>
        <v>41669</v>
      </c>
      <c r="AB36" s="72" t="str">
        <f>IF(VLOOKUP(DATE($E$1,1,DAY($AA36)),Info!$AO$19:$AO$30,1)=DATE($E$1,1,DAY($AA36)),VLOOKUP(DATE($E$1,1,DAY($AA36)),Info!$AO$19:$AP$30,2,),"")</f>
        <v/>
      </c>
      <c r="AC36" s="72"/>
      <c r="AD36" s="72" t="str">
        <f>IF(WEEKDAY(DATE($E$1,3,DAY(AA36)),2)=6,"Sommertid - klokka 1 time fram i natt","")&amp;IF(VLOOKUP(DATE($E$1,3,DAY($AA36)),Info!$AO$7:$AO$17,1)=DATE($E$1,3,DAY($AA36)),VLOOKUP(DATE($E$1,3,DAY($AA36)),Info!$AO$7:$AP$17,2,),"")&amp;IF(VLOOKUP(DATE($E$1,3,DAY($AA36)),Info!$AO$19:$AO$30,1)=DATE($E$1,3,DAY($AA36)),VLOOKUP(DATE($E$1,3,DAY($AA36)),Info!$AO$19:$AP$30,2,),"")</f>
        <v/>
      </c>
      <c r="AE36" s="72" t="str">
        <f>IF(VLOOKUP(DATE($E$1,4,DAY($AA36)),Info!$AO$19:$AO$30,1)=DATE($E$1,4,DAY($AA36)),VLOOKUP(DATE($E$1,4,DAY($AA36)),Info!$AO$19:$AP$30,2,),"")</f>
        <v/>
      </c>
      <c r="AF36" s="72" t="str">
        <f>IF(VLOOKUP(DATE($E$1,5,DAY($AA36)),Info!$AO$7:$AO$17,1)=DATE($E$1,5,DAY($AA36)),VLOOKUP(DATE($E$1,5,DAY($AA36)),Info!$AO$7:$AP$17,2,),"")&amp;IF(VLOOKUP(DATE($E$1,5,DAY($AA36)),Info!$AO$19:$AO$30,1)=DATE($E$1,5,DAY($AA36)),VLOOKUP(DATE($E$1,5,DAY($AA36)),Info!$AO$19:$AP$30,2,),"")</f>
        <v/>
      </c>
      <c r="AG36" s="72" t="str">
        <f>IF(VLOOKUP(DATE($E$1,6,DAY($AA36)),Info!$AO$19:$AO$30,1)=DATE($E$1,6,DAY($AA36)),VLOOKUP(DATE($E$1,6,DAY($AA36)),Info!$AO$19:$AP$30,2,),"")</f>
        <v/>
      </c>
      <c r="AH36" s="72" t="str">
        <f>IF(VLOOKUP(DATE($E$1,7,DAY($AA36)),Info!$AO$19:$AO$30,1)=DATE($E$1,7,DAY($AA36)),VLOOKUP(DATE($E$1,7,DAY($AA36)),Info!$AO$19:$AP$30,2,),"")</f>
        <v/>
      </c>
      <c r="AI36" s="72" t="str">
        <f>IF(VLOOKUP(DATE($E$1,8,DAY($AA36)),Info!$AO$19:$AO$30,1)=DATE($E$1,8,DAY($AA36)),VLOOKUP(DATE($E$1,8,DAY($AA36)),Info!$AO$19:$AP$30,2,),"")</f>
        <v/>
      </c>
      <c r="AJ36" s="72" t="str">
        <f>IF(WEEKDAY(DATE($E$1,9,DAY(AA36)),2)=4,"Fårikålens dag (Norges nasjonalrett)","")&amp;IF(VLOOKUP(DATE($E$1,9,DAY($AA36)),Info!$AO$19:$AO$30,1)=DATE($E$1,9,DAY($AA36)),VLOOKUP(DATE($E$1,9,DAY($AA36)),Info!$AO$19:$AP$30,2,),"")</f>
        <v/>
      </c>
      <c r="AK36" s="72" t="str">
        <f>IF(WEEKDAY(DATE($E$1,10,DAY(AA36)),2)=6,"Normaltid - klokka 1 time tilbake i natt","")&amp;IF(VLOOKUP(DATE($E$1,10,DAY($AA36)),Info!$AO$19:$AO$30,1)=DATE($E$1,10,DAY($AA36)),VLOOKUP(DATE($E$1,10,DAY($AA36)),Info!$AO$19:$AP$30,2,),"")</f>
        <v/>
      </c>
      <c r="AL36" s="72" t="str">
        <f>IF(VLOOKUP(DATE($E$1,11,DAY($AA36)),Info!$AO$19:$AO$30,1)=DATE($E$1,11,DAY($AA36)),VLOOKUP(DATE($E$1,11,DAY($AA36)),Info!$AO$19:$AP$30,2,),"")</f>
        <v/>
      </c>
      <c r="AM36" s="72" t="str">
        <f>IF(VLOOKUP(DATE($E$1,12,DAY($AA36)),Info!$AO$19:$AO$30,1)=DATE($E$1,12,DAY($AA36)),VLOOKUP(DATE($E$1,12,DAY($AA36)),Info!$AO$19:$AP$30,2,),"")</f>
        <v/>
      </c>
      <c r="AN36" s="67"/>
    </row>
    <row r="37" spans="1:40" x14ac:dyDescent="0.2">
      <c r="AA37" s="70">
        <f t="shared" si="0"/>
        <v>41670</v>
      </c>
      <c r="AB37" s="72" t="str">
        <f>IF(VLOOKUP(DATE($E$1,1,DAY($AA37)),Info!$AO$19:$AO$30,1)=DATE($E$1,1,DAY($AA37)),VLOOKUP(DATE($E$1,1,DAY($AA37)),Info!$AO$19:$AP$30,2,),"")</f>
        <v/>
      </c>
      <c r="AC37" s="72"/>
      <c r="AD37" s="72" t="str">
        <f>IF(VLOOKUP(DATE($E$1,3,DAY($AA37)),Info!$AO$7:$AO$17,1)=DATE($E$1,3,DAY($AA37)),VLOOKUP(DATE($E$1,3,DAY($AA37)),Info!$AO$7:$AP$17,2,),"")&amp;IF(VLOOKUP(DATE($E$1,3,DAY($AA37)),Info!$AO$19:$AO$30,1)=DATE($E$1,3,DAY($AA37)),VLOOKUP(DATE($E$1,3,DAY($AA37)),Info!$AO$19:$AP$30,2,),"")</f>
        <v/>
      </c>
      <c r="AE37" s="72" t="str">
        <f>""</f>
        <v/>
      </c>
      <c r="AF37" s="72" t="str">
        <f>IF(VLOOKUP(DATE($E$1,5,DAY($AA37)),Info!$AO$7:$AO$17,1)=DATE($E$1,5,DAY($AA37)),VLOOKUP(DATE($E$1,5,DAY($AA37)),Info!$AO$7:$AP$17,2,),"")&amp;IF(VLOOKUP(DATE($E$1,5,DAY($AA37)),Info!$AO$19:$AO$30,1)=DATE($E$1,5,DAY($AA37)),VLOOKUP(DATE($E$1,5,DAY($AA37)),Info!$AO$19:$AP$30,2,),"")</f>
        <v/>
      </c>
      <c r="AG37" s="72" t="str">
        <f>""</f>
        <v/>
      </c>
      <c r="AH37" s="72" t="str">
        <f>IF(VLOOKUP(DATE($E$1,7,DAY($AA37)),Info!$AO$19:$AO$30,1)=DATE($E$1,7,DAY($AA37)),VLOOKUP(DATE($E$1,7,DAY($AA37)),Info!$AO$19:$AP$30,2,),"")</f>
        <v/>
      </c>
      <c r="AI37" s="72" t="str">
        <f>IF(VLOOKUP(DATE($E$1,8,DAY($AA37)),Info!$AO$19:$AO$30,1)=DATE($E$1,8,DAY($AA37)),VLOOKUP(DATE($E$1,8,DAY($AA37)),Info!$AO$19:$AP$30,2,),"")</f>
        <v/>
      </c>
      <c r="AJ37" s="72"/>
      <c r="AK37" s="72" t="str">
        <f>IF(WEEKDAY(DATE($E$1,10,DAY(AA37)),2)=6,"Normaltid - klokka 1 time tilbake i natt","")&amp;IF(VLOOKUP(DATE($E$1,10,DAY($AA37)),Info!$AO$19:$AO$30,1)=DATE($E$1,10,DAY($AA37)),VLOOKUP(DATE($E$1,10,DAY($AA37)),Info!$AO$19:$AP$30,2,),"")</f>
        <v/>
      </c>
      <c r="AL37" s="72"/>
      <c r="AM37" s="72" t="str">
        <f>"Nyttårsaften / halv dag"&amp;IF(VLOOKUP(DATE($E$1,12,DAY($AA37)),Info!$AO$19:$AO$30,1)=DATE($E$1,12,DAY($AA37)),VLOOKUP(DATE($E$1,12,DAY($AA37)),Info!$AO$19:$AP$30,2,),"")</f>
        <v>Nyttårsaften / halv dag · Fødselsdag 114</v>
      </c>
      <c r="AN37" s="67"/>
    </row>
    <row r="38" spans="1:40" x14ac:dyDescent="0.2">
      <c r="H38" s="84"/>
      <c r="I38" s="85"/>
      <c r="J38" s="85"/>
      <c r="K38" s="85"/>
      <c r="AE38" s="72"/>
      <c r="AF38" s="72"/>
      <c r="AG38" s="72"/>
      <c r="AH38" s="72"/>
      <c r="AI38" s="72"/>
      <c r="AJ38" s="72"/>
      <c r="AK38" s="72"/>
      <c r="AL38" s="72"/>
      <c r="AM38" s="72"/>
      <c r="AN38" s="67"/>
    </row>
    <row r="39" spans="1:40" x14ac:dyDescent="0.2">
      <c r="AJ39" s="72"/>
      <c r="AK39" s="72"/>
      <c r="AL39" s="72"/>
      <c r="AM39" s="72"/>
      <c r="AN39" s="67"/>
    </row>
    <row r="40" spans="1:40" x14ac:dyDescent="0.2">
      <c r="A40" s="302" t="s">
        <v>35</v>
      </c>
      <c r="B40" s="303"/>
      <c r="C40" s="446" t="s">
        <v>206</v>
      </c>
      <c r="D40" s="446"/>
      <c r="E40" s="447"/>
      <c r="AA40" s="73" t="s">
        <v>43</v>
      </c>
      <c r="AB40" s="73" t="s">
        <v>164</v>
      </c>
      <c r="AC40" s="73" t="s">
        <v>165</v>
      </c>
      <c r="AD40" s="73" t="s">
        <v>166</v>
      </c>
      <c r="AE40" s="73" t="s">
        <v>167</v>
      </c>
      <c r="AF40" s="73" t="s">
        <v>168</v>
      </c>
      <c r="AG40" s="73" t="s">
        <v>169</v>
      </c>
      <c r="AH40" s="73" t="s">
        <v>170</v>
      </c>
      <c r="AI40" s="73" t="s">
        <v>171</v>
      </c>
      <c r="AJ40" s="73" t="s">
        <v>172</v>
      </c>
      <c r="AK40" s="73" t="s">
        <v>173</v>
      </c>
      <c r="AL40" s="73" t="s">
        <v>174</v>
      </c>
      <c r="AM40" s="73" t="s">
        <v>175</v>
      </c>
    </row>
    <row r="41" spans="1:40" x14ac:dyDescent="0.2">
      <c r="A41" s="218" t="s">
        <v>149</v>
      </c>
      <c r="B41" s="1"/>
      <c r="C41" s="33" t="s">
        <v>232</v>
      </c>
      <c r="D41" s="1"/>
      <c r="E41" s="29"/>
      <c r="F41" s="32"/>
      <c r="G41" s="1"/>
      <c r="AA41" s="70">
        <f>DATE(E1,1,1)</f>
        <v>41640</v>
      </c>
      <c r="AE41">
        <f>IF(AND(VLOOKUP(DATE($E$1,4,DAY($AA41)),Info!$AO$7:$AO$17,1,TRUE)=DATE($E$1,4,DAY($AA41)),VLOOKUP(DATE($E$1,4,DAY($AA41)),Info!$AO$7:$AP$17,2,TRUE)="Halv dag"),$D$12,IF(AND($C$47="Ja",AND(OR($G$48&lt;4,AND($G$48=4,$F$48&lt;=DAY($AA41))),OR($G$49&gt;4,AND($G$49=4,$F$49&gt;=DAY($AA41))))),$D$11,$D$10))</f>
        <v>435</v>
      </c>
      <c r="AF41" s="20">
        <f t="shared" ref="AF41:AF71" si="1">IF(AND($C$47="Ja",AND(OR($G$48&lt;5,AND($G$48=5,$F$48&lt;=DAY($AA41))),OR($G$49&gt;5,AND($G$49=5,$F$49&gt;=DAY($AA41))))),$D$11,$D$10)</f>
        <v>435</v>
      </c>
      <c r="AG41">
        <f t="shared" ref="AG41:AG71" si="2">IF(AND($C$47="Ja",AND(OR($G$48&lt;6,AND($G$48=6,$F$48&lt;=DAY($AA41))),OR($G$49&gt;6,AND($G$49=6,$F$49&gt;=DAY($AA41))))),$D$11,$D$10)</f>
        <v>435</v>
      </c>
      <c r="AH41">
        <f t="shared" ref="AH41:AH71" si="3">IF(AND($C$47="Ja",AND(OR($G$48&lt;7,AND($G$48=7,$F$48&lt;=DAY($AA41))),OR($G$49&gt;7,AND($G$49=7,$F$49&gt;=DAY($AA41))))),$D$11,$D$10)</f>
        <v>435</v>
      </c>
      <c r="AI41">
        <f t="shared" ref="AI41:AI71" si="4">IF(AND($C$47="Ja",AND(OR($G$48&lt;8,AND($G$48=8,$F$48&lt;=DAY($AA41))),OR($G$49&gt;8,AND($G$49=8,$F$49&gt;=DAY($AA41))))),$D$11,$D$10)</f>
        <v>435</v>
      </c>
      <c r="AJ41">
        <f t="shared" ref="AJ41:AJ71" si="5">IF(AND($C$47="Ja",AND(OR($G$48&lt;9,AND($G$48=9,$F$48&lt;=DAY($AA41))),OR($G$49&gt;9,AND($G$49=9,$F$49&gt;=DAY($AA41))))),$D$11,$D$10)</f>
        <v>435</v>
      </c>
      <c r="AK41">
        <f t="shared" ref="AK41:AK71" si="6">IF(AND($C$47="Ja",AND(OR($G$48&lt;10,AND($G$48=10,$F$48&lt;=DAY($AA41))),OR($G$49&gt;10,AND($G$49=10,$F$49&gt;=DAY($AA41))))),$D$11,$D$10)</f>
        <v>465</v>
      </c>
    </row>
    <row r="42" spans="1:40" x14ac:dyDescent="0.2">
      <c r="A42" s="13" t="s">
        <v>36</v>
      </c>
      <c r="B42" s="1"/>
      <c r="C42" s="33">
        <v>465</v>
      </c>
      <c r="D42" s="1" t="s">
        <v>31</v>
      </c>
      <c r="E42" s="29"/>
      <c r="F42" s="1"/>
      <c r="G42" s="1"/>
      <c r="AA42" s="70">
        <f>AA41+1</f>
        <v>41641</v>
      </c>
      <c r="AE42">
        <f>IF(AND(VLOOKUP(DATE($E$1,4,DAY($AA42)),Info!$AO$7:$AO$17,1,TRUE)=DATE($E$1,4,DAY($AA42)),VLOOKUP(DATE($E$1,4,DAY($AA42)),Info!$AO$7:$AP$17,2,TRUE)="Halv dag"),$D$12,IF(AND($C$47="Ja",AND(OR($G$48&lt;4,AND($G$48=4,$F$48&lt;=DAY($AA42))),OR($G$49&gt;4,AND($G$49=4,$F$49&gt;=DAY($AA42))))),$D$11,$D$10))</f>
        <v>435</v>
      </c>
      <c r="AF42" s="20">
        <f t="shared" si="1"/>
        <v>435</v>
      </c>
      <c r="AG42">
        <f t="shared" si="2"/>
        <v>435</v>
      </c>
      <c r="AH42">
        <f t="shared" si="3"/>
        <v>435</v>
      </c>
      <c r="AI42">
        <f t="shared" si="4"/>
        <v>435</v>
      </c>
      <c r="AJ42">
        <f t="shared" si="5"/>
        <v>435</v>
      </c>
      <c r="AK42">
        <f t="shared" si="6"/>
        <v>465</v>
      </c>
    </row>
    <row r="43" spans="1:40" x14ac:dyDescent="0.2">
      <c r="A43" s="13" t="s">
        <v>37</v>
      </c>
      <c r="B43" s="1"/>
      <c r="C43" s="33">
        <v>435</v>
      </c>
      <c r="D43" s="1" t="s">
        <v>31</v>
      </c>
      <c r="E43" s="29"/>
      <c r="F43" s="1"/>
      <c r="G43" s="1"/>
      <c r="AA43" s="70">
        <f t="shared" ref="AA43:AA71" si="7">AA42+1</f>
        <v>41642</v>
      </c>
      <c r="AE43">
        <f>IF(AND(VLOOKUP(DATE($E$1,4,DAY($AA43)),Info!$AO$7:$AO$17,1,TRUE)=DATE($E$1,4,DAY($AA43)),VLOOKUP(DATE($E$1,4,DAY($AA43)),Info!$AO$7:$AP$17,2,TRUE)="Halv dag"),$D$12,IF(AND($C$47="Ja",AND(OR($G$48&lt;4,AND($G$48=4,$F$48&lt;=DAY($AA43))),OR($G$49&gt;4,AND($G$49=4,$F$49&gt;=DAY($AA43))))),$D$11,$D$10))</f>
        <v>435</v>
      </c>
      <c r="AF43" s="20">
        <f t="shared" si="1"/>
        <v>435</v>
      </c>
      <c r="AG43">
        <f t="shared" si="2"/>
        <v>435</v>
      </c>
      <c r="AH43">
        <f t="shared" si="3"/>
        <v>435</v>
      </c>
      <c r="AI43">
        <f t="shared" si="4"/>
        <v>435</v>
      </c>
      <c r="AJ43">
        <f t="shared" si="5"/>
        <v>435</v>
      </c>
      <c r="AK43">
        <f t="shared" si="6"/>
        <v>465</v>
      </c>
    </row>
    <row r="44" spans="1:40" x14ac:dyDescent="0.2">
      <c r="A44" s="444" t="s">
        <v>42</v>
      </c>
      <c r="B44" s="445"/>
      <c r="C44" s="33">
        <v>255</v>
      </c>
      <c r="D44" s="1" t="s">
        <v>31</v>
      </c>
      <c r="E44" s="29"/>
      <c r="F44" s="1"/>
      <c r="G44" s="1"/>
      <c r="AA44" s="70">
        <f t="shared" si="7"/>
        <v>41643</v>
      </c>
      <c r="AE44">
        <f>IF(AND(VLOOKUP(DATE($E$1,4,DAY($AA44)),Info!$AO$7:$AO$17,1,TRUE)=DATE($E$1,4,DAY($AA44)),VLOOKUP(DATE($E$1,4,DAY($AA44)),Info!$AO$7:$AP$17,2,TRUE)="Halv dag"),$D$12,IF(AND($C$47="Ja",AND(OR($G$48&lt;4,AND($G$48=4,$F$48&lt;=DAY($AA44))),OR($G$49&gt;4,AND($G$49=4,$F$49&gt;=DAY($AA44))))),$D$11,$D$10))</f>
        <v>435</v>
      </c>
      <c r="AF44" s="20">
        <f t="shared" si="1"/>
        <v>435</v>
      </c>
      <c r="AG44">
        <f t="shared" si="2"/>
        <v>435</v>
      </c>
      <c r="AH44">
        <f t="shared" si="3"/>
        <v>435</v>
      </c>
      <c r="AI44">
        <f t="shared" si="4"/>
        <v>435</v>
      </c>
      <c r="AJ44">
        <f t="shared" si="5"/>
        <v>435</v>
      </c>
      <c r="AK44">
        <f t="shared" si="6"/>
        <v>465</v>
      </c>
    </row>
    <row r="45" spans="1:40" x14ac:dyDescent="0.2">
      <c r="A45" s="13" t="s">
        <v>136</v>
      </c>
      <c r="B45" s="1"/>
      <c r="C45" s="33">
        <v>465</v>
      </c>
      <c r="D45" s="79" t="s">
        <v>31</v>
      </c>
      <c r="E45" s="29"/>
      <c r="F45" s="1"/>
      <c r="G45" s="1"/>
      <c r="AA45" s="70">
        <f t="shared" si="7"/>
        <v>41644</v>
      </c>
      <c r="AE45">
        <f>IF(AND(VLOOKUP(DATE($E$1,4,DAY($AA45)),Info!$AO$7:$AO$17,1,TRUE)=DATE($E$1,4,DAY($AA45)),VLOOKUP(DATE($E$1,4,DAY($AA45)),Info!$AO$7:$AP$17,2,TRUE)="Halv dag"),$D$12,IF(AND($C$47="Ja",AND(OR($G$48&lt;4,AND($G$48=4,$F$48&lt;=DAY($AA45))),OR($G$49&gt;4,AND($G$49=4,$F$49&gt;=DAY($AA45))))),$D$11,$D$10))</f>
        <v>435</v>
      </c>
      <c r="AF45" s="20">
        <f t="shared" si="1"/>
        <v>435</v>
      </c>
      <c r="AG45">
        <f t="shared" si="2"/>
        <v>435</v>
      </c>
      <c r="AH45">
        <f t="shared" si="3"/>
        <v>435</v>
      </c>
      <c r="AI45">
        <f t="shared" si="4"/>
        <v>435</v>
      </c>
      <c r="AJ45">
        <f t="shared" si="5"/>
        <v>435</v>
      </c>
      <c r="AK45">
        <f t="shared" si="6"/>
        <v>465</v>
      </c>
    </row>
    <row r="46" spans="1:40" x14ac:dyDescent="0.2">
      <c r="A46" s="184" t="s">
        <v>229</v>
      </c>
      <c r="C46" s="33">
        <v>0</v>
      </c>
      <c r="D46" s="79" t="s">
        <v>137</v>
      </c>
      <c r="E46" s="29"/>
      <c r="G46" s="1"/>
      <c r="AA46" s="70">
        <f t="shared" si="7"/>
        <v>41645</v>
      </c>
      <c r="AE46">
        <f>IF(AND(VLOOKUP(DATE($E$1,4,DAY($AA46)),Info!$AO$7:$AO$17,1,TRUE)=DATE($E$1,4,DAY($AA46)),VLOOKUP(DATE($E$1,4,DAY($AA46)),Info!$AO$7:$AP$17,2,TRUE)="Halv dag"),$D$12,IF(AND($C$47="Ja",AND(OR($G$48&lt;4,AND($G$48=4,$F$48&lt;=DAY($AA46))),OR($G$49&gt;4,AND($G$49=4,$F$49&gt;=DAY($AA46))))),$D$11,$D$10))</f>
        <v>435</v>
      </c>
      <c r="AF46" s="20">
        <f t="shared" si="1"/>
        <v>435</v>
      </c>
      <c r="AG46">
        <f t="shared" si="2"/>
        <v>435</v>
      </c>
      <c r="AH46">
        <f t="shared" si="3"/>
        <v>435</v>
      </c>
      <c r="AI46">
        <f t="shared" si="4"/>
        <v>435</v>
      </c>
      <c r="AJ46">
        <f t="shared" si="5"/>
        <v>435</v>
      </c>
      <c r="AK46">
        <f t="shared" si="6"/>
        <v>465</v>
      </c>
    </row>
    <row r="47" spans="1:40" x14ac:dyDescent="0.2">
      <c r="A47" s="304" t="s">
        <v>43</v>
      </c>
      <c r="B47" s="305"/>
      <c r="C47" s="306" t="str">
        <f>IF(OR(ISBLANK(C48),ISBLANK(C49)),"Nei","Ja")</f>
        <v>Ja</v>
      </c>
      <c r="D47" s="305"/>
      <c r="E47" s="307"/>
      <c r="F47" s="1"/>
      <c r="G47" s="1"/>
      <c r="AA47" s="70">
        <f t="shared" si="7"/>
        <v>41646</v>
      </c>
      <c r="AE47">
        <f>IF(AND(VLOOKUP(DATE($E$1,4,DAY($AA47)),Info!$AO$7:$AO$17,1,TRUE)=DATE($E$1,4,DAY($AA47)),VLOOKUP(DATE($E$1,4,DAY($AA47)),Info!$AO$7:$AP$17,2,TRUE)="Halv dag"),$D$12,IF(AND($C$47="Ja",AND(OR($G$48&lt;4,AND($G$48=4,$F$48&lt;=DAY($AA47))),OR($G$49&gt;4,AND($G$49=4,$F$49&gt;=DAY($AA47))))),$D$11,$D$10))</f>
        <v>435</v>
      </c>
      <c r="AF47" s="20">
        <f t="shared" si="1"/>
        <v>435</v>
      </c>
      <c r="AG47">
        <f t="shared" si="2"/>
        <v>435</v>
      </c>
      <c r="AH47">
        <f t="shared" si="3"/>
        <v>435</v>
      </c>
      <c r="AI47">
        <f t="shared" si="4"/>
        <v>435</v>
      </c>
      <c r="AJ47">
        <f t="shared" si="5"/>
        <v>435</v>
      </c>
      <c r="AK47">
        <f t="shared" si="6"/>
        <v>465</v>
      </c>
    </row>
    <row r="48" spans="1:40" x14ac:dyDescent="0.2">
      <c r="A48" s="13" t="s">
        <v>54</v>
      </c>
      <c r="B48" s="1"/>
      <c r="C48" s="34">
        <v>40634</v>
      </c>
      <c r="D48" s="1"/>
      <c r="E48" s="178" t="s">
        <v>134</v>
      </c>
      <c r="F48" s="61">
        <f>DAY(C48)</f>
        <v>1</v>
      </c>
      <c r="G48" s="61">
        <f>MONTH(C48)</f>
        <v>4</v>
      </c>
      <c r="AA48" s="70">
        <f t="shared" si="7"/>
        <v>41647</v>
      </c>
      <c r="AE48">
        <f>IF(AND(VLOOKUP(DATE($E$1,4,DAY($AA48)),Info!$AO$7:$AO$17,1,TRUE)=DATE($E$1,4,DAY($AA48)),VLOOKUP(DATE($E$1,4,DAY($AA48)),Info!$AO$7:$AP$17,2,TRUE)="Halv dag"),$D$12,IF(AND($C$47="Ja",AND(OR($G$48&lt;4,AND($G$48=4,$F$48&lt;=DAY($AA48))),OR($G$49&gt;4,AND($G$49=4,$F$49&gt;=DAY($AA48))))),$D$11,$D$10))</f>
        <v>435</v>
      </c>
      <c r="AF48" s="20">
        <f t="shared" si="1"/>
        <v>435</v>
      </c>
      <c r="AG48">
        <f t="shared" si="2"/>
        <v>435</v>
      </c>
      <c r="AH48">
        <f t="shared" si="3"/>
        <v>435</v>
      </c>
      <c r="AI48">
        <f t="shared" si="4"/>
        <v>435</v>
      </c>
      <c r="AJ48">
        <f t="shared" si="5"/>
        <v>435</v>
      </c>
      <c r="AK48">
        <f t="shared" si="6"/>
        <v>465</v>
      </c>
    </row>
    <row r="49" spans="1:37" x14ac:dyDescent="0.2">
      <c r="A49" s="30" t="s">
        <v>55</v>
      </c>
      <c r="B49" s="31"/>
      <c r="C49" s="35">
        <v>40816</v>
      </c>
      <c r="D49" s="31"/>
      <c r="E49" s="179" t="s">
        <v>135</v>
      </c>
      <c r="F49" s="82">
        <f>DAY(C49)</f>
        <v>30</v>
      </c>
      <c r="G49" s="61">
        <f>MONTH(C49)</f>
        <v>9</v>
      </c>
      <c r="AA49" s="70">
        <f t="shared" si="7"/>
        <v>41648</v>
      </c>
      <c r="AE49">
        <f>IF(AND(VLOOKUP(DATE($E$1,4,DAY($AA49)),Info!$AO$7:$AO$17,1,TRUE)=DATE($E$1,4,DAY($AA49)),VLOOKUP(DATE($E$1,4,DAY($AA49)),Info!$AO$7:$AP$17,2,TRUE)="Halv dag"),$D$12,IF(AND($C$47="Ja",AND(OR($G$48&lt;4,AND($G$48=4,$F$48&lt;=DAY($AA49))),OR($G$49&gt;4,AND($G$49=4,$F$49&gt;=DAY($AA49))))),$D$11,$D$10))</f>
        <v>435</v>
      </c>
      <c r="AF49" s="20">
        <f t="shared" si="1"/>
        <v>435</v>
      </c>
      <c r="AG49">
        <f t="shared" si="2"/>
        <v>435</v>
      </c>
      <c r="AH49">
        <f t="shared" si="3"/>
        <v>435</v>
      </c>
      <c r="AI49">
        <f t="shared" si="4"/>
        <v>435</v>
      </c>
      <c r="AJ49">
        <f t="shared" si="5"/>
        <v>435</v>
      </c>
      <c r="AK49">
        <f t="shared" si="6"/>
        <v>465</v>
      </c>
    </row>
    <row r="50" spans="1:37" x14ac:dyDescent="0.2">
      <c r="AA50" s="70">
        <f t="shared" si="7"/>
        <v>41649</v>
      </c>
      <c r="AE50">
        <f>IF(AND(VLOOKUP(DATE($E$1,4,DAY($AA50)),Info!$AO$7:$AO$17,1,TRUE)=DATE($E$1,4,DAY($AA50)),VLOOKUP(DATE($E$1,4,DAY($AA50)),Info!$AO$7:$AP$17,2,TRUE)="Halv dag"),$D$12,IF(AND($C$47="Ja",AND(OR($G$48&lt;4,AND($G$48=4,$F$48&lt;=DAY($AA50))),OR($G$49&gt;4,AND($G$49=4,$F$49&gt;=DAY($AA50))))),$D$11,$D$10))</f>
        <v>435</v>
      </c>
      <c r="AF50" s="20">
        <f t="shared" si="1"/>
        <v>435</v>
      </c>
      <c r="AG50">
        <f t="shared" si="2"/>
        <v>435</v>
      </c>
      <c r="AH50">
        <f t="shared" si="3"/>
        <v>435</v>
      </c>
      <c r="AI50">
        <f t="shared" si="4"/>
        <v>435</v>
      </c>
      <c r="AJ50">
        <f t="shared" si="5"/>
        <v>435</v>
      </c>
      <c r="AK50">
        <f t="shared" si="6"/>
        <v>465</v>
      </c>
    </row>
    <row r="51" spans="1:37" x14ac:dyDescent="0.2">
      <c r="A51" t="s">
        <v>94</v>
      </c>
      <c r="AA51" s="70">
        <f t="shared" si="7"/>
        <v>41650</v>
      </c>
      <c r="AE51">
        <f>IF(AND(VLOOKUP(DATE($E$1,4,DAY($AA51)),Info!$AO$7:$AO$17,1,TRUE)=DATE($E$1,4,DAY($AA51)),VLOOKUP(DATE($E$1,4,DAY($AA51)),Info!$AO$7:$AP$17,2,TRUE)="Halv dag"),$D$12,IF(AND($C$47="Ja",AND(OR($G$48&lt;4,AND($G$48=4,$F$48&lt;=DAY($AA51))),OR($G$49&gt;4,AND($G$49=4,$F$49&gt;=DAY($AA51))))),$D$11,$D$10))</f>
        <v>435</v>
      </c>
      <c r="AF51" s="20">
        <f t="shared" si="1"/>
        <v>435</v>
      </c>
      <c r="AG51">
        <f t="shared" si="2"/>
        <v>435</v>
      </c>
      <c r="AH51">
        <f t="shared" si="3"/>
        <v>435</v>
      </c>
      <c r="AI51">
        <f t="shared" si="4"/>
        <v>435</v>
      </c>
      <c r="AJ51">
        <f t="shared" si="5"/>
        <v>435</v>
      </c>
      <c r="AK51">
        <f t="shared" si="6"/>
        <v>465</v>
      </c>
    </row>
    <row r="52" spans="1:37" x14ac:dyDescent="0.2">
      <c r="A52" s="67"/>
      <c r="AA52" s="70">
        <f t="shared" si="7"/>
        <v>41651</v>
      </c>
      <c r="AE52">
        <f>IF(AND(VLOOKUP(DATE($E$1,4,DAY($AA52)),Info!$AO$7:$AO$17,1,TRUE)=DATE($E$1,4,DAY($AA52)),VLOOKUP(DATE($E$1,4,DAY($AA52)),Info!$AO$7:$AP$17,2,TRUE)="Halv dag"),$D$12,IF(AND($C$47="Ja",AND(OR($G$48&lt;4,AND($G$48=4,$F$48&lt;=DAY($AA52))),OR($G$49&gt;4,AND($G$49=4,$F$49&gt;=DAY($AA52))))),$D$11,$D$10))</f>
        <v>435</v>
      </c>
      <c r="AF52" s="20">
        <f t="shared" si="1"/>
        <v>435</v>
      </c>
      <c r="AG52">
        <f t="shared" si="2"/>
        <v>435</v>
      </c>
      <c r="AH52">
        <f t="shared" si="3"/>
        <v>435</v>
      </c>
      <c r="AI52">
        <f t="shared" si="4"/>
        <v>435</v>
      </c>
      <c r="AJ52">
        <f t="shared" si="5"/>
        <v>435</v>
      </c>
      <c r="AK52">
        <f t="shared" si="6"/>
        <v>465</v>
      </c>
    </row>
    <row r="53" spans="1:37" x14ac:dyDescent="0.2">
      <c r="AA53" s="70">
        <f t="shared" si="7"/>
        <v>41652</v>
      </c>
      <c r="AE53">
        <f>IF(AND(VLOOKUP(DATE($E$1,4,DAY($AA53)),Info!$AO$7:$AO$17,1,TRUE)=DATE($E$1,4,DAY($AA53)),VLOOKUP(DATE($E$1,4,DAY($AA53)),Info!$AO$7:$AP$17,2,TRUE)="Halv dag"),$D$12,IF(AND($C$47="Ja",AND(OR($G$48&lt;4,AND($G$48=4,$F$48&lt;=DAY($AA53))),OR($G$49&gt;4,AND($G$49=4,$F$49&gt;=DAY($AA53))))),$D$11,$D$10))</f>
        <v>435</v>
      </c>
      <c r="AF53" s="20">
        <f t="shared" si="1"/>
        <v>435</v>
      </c>
      <c r="AG53">
        <f t="shared" si="2"/>
        <v>435</v>
      </c>
      <c r="AH53">
        <f t="shared" si="3"/>
        <v>435</v>
      </c>
      <c r="AI53">
        <f t="shared" si="4"/>
        <v>435</v>
      </c>
      <c r="AJ53">
        <f t="shared" si="5"/>
        <v>435</v>
      </c>
      <c r="AK53">
        <f t="shared" si="6"/>
        <v>465</v>
      </c>
    </row>
    <row r="54" spans="1:37" x14ac:dyDescent="0.2">
      <c r="AA54" s="70">
        <f t="shared" si="7"/>
        <v>41653</v>
      </c>
      <c r="AE54">
        <f>IF(AND(VLOOKUP(DATE($E$1,4,DAY($AA54)),Info!$AO$7:$AO$17,1,TRUE)=DATE($E$1,4,DAY($AA54)),VLOOKUP(DATE($E$1,4,DAY($AA54)),Info!$AO$7:$AP$17,2,TRUE)="Halv dag"),$D$12,IF(AND($C$47="Ja",AND(OR($G$48&lt;4,AND($G$48=4,$F$48&lt;=DAY($AA54))),OR($G$49&gt;4,AND($G$49=4,$F$49&gt;=DAY($AA54))))),$D$11,$D$10))</f>
        <v>435</v>
      </c>
      <c r="AF54" s="20">
        <f t="shared" si="1"/>
        <v>435</v>
      </c>
      <c r="AG54">
        <f t="shared" si="2"/>
        <v>435</v>
      </c>
      <c r="AH54">
        <f t="shared" si="3"/>
        <v>435</v>
      </c>
      <c r="AI54">
        <f t="shared" si="4"/>
        <v>435</v>
      </c>
      <c r="AJ54">
        <f t="shared" si="5"/>
        <v>435</v>
      </c>
      <c r="AK54">
        <f t="shared" si="6"/>
        <v>465</v>
      </c>
    </row>
    <row r="55" spans="1:37" x14ac:dyDescent="0.2">
      <c r="AA55" s="70">
        <f t="shared" si="7"/>
        <v>41654</v>
      </c>
      <c r="AE55">
        <f>IF(AND(VLOOKUP(DATE($E$1,4,DAY($AA55)),Info!$AO$7:$AO$17,1,TRUE)=DATE($E$1,4,DAY($AA55)),VLOOKUP(DATE($E$1,4,DAY($AA55)),Info!$AO$7:$AP$17,2,TRUE)="Halv dag"),$D$12,IF(AND($C$47="Ja",AND(OR($G$48&lt;4,AND($G$48=4,$F$48&lt;=DAY($AA55))),OR($G$49&gt;4,AND($G$49=4,$F$49&gt;=DAY($AA55))))),$D$11,$D$10))</f>
        <v>435</v>
      </c>
      <c r="AF55" s="20">
        <f t="shared" si="1"/>
        <v>435</v>
      </c>
      <c r="AG55">
        <f t="shared" si="2"/>
        <v>435</v>
      </c>
      <c r="AH55">
        <f t="shared" si="3"/>
        <v>435</v>
      </c>
      <c r="AI55">
        <f t="shared" si="4"/>
        <v>435</v>
      </c>
      <c r="AJ55">
        <f t="shared" si="5"/>
        <v>435</v>
      </c>
      <c r="AK55">
        <f t="shared" si="6"/>
        <v>465</v>
      </c>
    </row>
    <row r="56" spans="1:37" x14ac:dyDescent="0.2">
      <c r="AA56" s="70">
        <f t="shared" si="7"/>
        <v>41655</v>
      </c>
      <c r="AE56">
        <f>IF(AND(VLOOKUP(DATE($E$1,4,DAY($AA56)),Info!$AO$7:$AO$17,1,TRUE)=DATE($E$1,4,DAY($AA56)),VLOOKUP(DATE($E$1,4,DAY($AA56)),Info!$AO$7:$AP$17,2,TRUE)="Halv dag"),$D$12,IF(AND($C$47="Ja",AND(OR($G$48&lt;4,AND($G$48=4,$F$48&lt;=DAY($AA56))),OR($G$49&gt;4,AND($G$49=4,$F$49&gt;=DAY($AA56))))),$D$11,$D$10))</f>
        <v>255</v>
      </c>
      <c r="AF56" s="20">
        <f t="shared" si="1"/>
        <v>435</v>
      </c>
      <c r="AG56">
        <f t="shared" si="2"/>
        <v>435</v>
      </c>
      <c r="AH56">
        <f t="shared" si="3"/>
        <v>435</v>
      </c>
      <c r="AI56">
        <f t="shared" si="4"/>
        <v>435</v>
      </c>
      <c r="AJ56">
        <f t="shared" si="5"/>
        <v>435</v>
      </c>
      <c r="AK56">
        <f t="shared" si="6"/>
        <v>465</v>
      </c>
    </row>
    <row r="57" spans="1:37" x14ac:dyDescent="0.2">
      <c r="AA57" s="70">
        <f t="shared" si="7"/>
        <v>41656</v>
      </c>
      <c r="AE57">
        <f>IF(AND(VLOOKUP(DATE($E$1,4,DAY($AA57)),Info!$AO$7:$AO$17,1,TRUE)=DATE($E$1,4,DAY($AA57)),VLOOKUP(DATE($E$1,4,DAY($AA57)),Info!$AO$7:$AP$17,2,TRUE)="Halv dag"),$D$12,IF(AND($C$47="Ja",AND(OR($G$48&lt;4,AND($G$48=4,$F$48&lt;=DAY($AA57))),OR($G$49&gt;4,AND($G$49=4,$F$49&gt;=DAY($AA57))))),$D$11,$D$10))</f>
        <v>435</v>
      </c>
      <c r="AF57" s="20">
        <f t="shared" si="1"/>
        <v>435</v>
      </c>
      <c r="AG57">
        <f t="shared" si="2"/>
        <v>435</v>
      </c>
      <c r="AH57">
        <f t="shared" si="3"/>
        <v>435</v>
      </c>
      <c r="AI57">
        <f t="shared" si="4"/>
        <v>435</v>
      </c>
      <c r="AJ57">
        <f t="shared" si="5"/>
        <v>435</v>
      </c>
      <c r="AK57">
        <f t="shared" si="6"/>
        <v>465</v>
      </c>
    </row>
    <row r="58" spans="1:37" x14ac:dyDescent="0.2">
      <c r="B58" t="s">
        <v>138</v>
      </c>
      <c r="C58" s="222" t="s">
        <v>230</v>
      </c>
      <c r="AA58" s="70">
        <f t="shared" si="7"/>
        <v>41657</v>
      </c>
      <c r="AD58">
        <f>IF(AND(VLOOKUP(DATE($E$1,3,DAY($AA58)),Info!$AO$7:$AO$17,1,TRUE)=DATE($E$1,3,DAY($AA58)),VLOOKUP(DATE($E$1,3,DAY($AA58)),Info!$AO$7:$AP$17,2,TRUE)="Halv dag"),$D$12,$D$10)</f>
        <v>465</v>
      </c>
      <c r="AE58">
        <f>IF(AND(VLOOKUP(DATE($E$1,4,DAY($AA58)),Info!$AO$7:$AO$17,1,TRUE)=DATE($E$1,4,DAY($AA58)),VLOOKUP(DATE($E$1,4,DAY($AA58)),Info!$AO$7:$AP$17,2,TRUE)="Halv dag"),$D$12,IF(AND($C$47="Ja",AND(OR($G$48&lt;4,AND($G$48=4,$F$48&lt;=DAY($AA58))),OR($G$49&gt;4,AND($G$49=4,$F$49&gt;=DAY($AA58))))),$D$11,$D$10))</f>
        <v>435</v>
      </c>
      <c r="AF58" s="20">
        <f t="shared" si="1"/>
        <v>435</v>
      </c>
      <c r="AG58">
        <f t="shared" si="2"/>
        <v>435</v>
      </c>
      <c r="AH58">
        <f t="shared" si="3"/>
        <v>435</v>
      </c>
      <c r="AI58">
        <f t="shared" si="4"/>
        <v>435</v>
      </c>
      <c r="AJ58">
        <f t="shared" si="5"/>
        <v>435</v>
      </c>
      <c r="AK58">
        <f t="shared" si="6"/>
        <v>465</v>
      </c>
    </row>
    <row r="59" spans="1:37" x14ac:dyDescent="0.2">
      <c r="AA59" s="70">
        <f t="shared" si="7"/>
        <v>41658</v>
      </c>
      <c r="AD59">
        <f>IF(AND(VLOOKUP(DATE($E$1,3,DAY($AA59)),Info!$AO$7:$AO$17,1,TRUE)=DATE($E$1,3,DAY($AA59)),VLOOKUP(DATE($E$1,3,DAY($AA59)),Info!$AO$7:$AP$17,2,TRUE)="Halv dag"),$D$12,$D$10)</f>
        <v>465</v>
      </c>
      <c r="AE59">
        <f>IF(AND(VLOOKUP(DATE($E$1,4,DAY($AA59)),Info!$AO$7:$AO$17,1,TRUE)=DATE($E$1,4,DAY($AA59)),VLOOKUP(DATE($E$1,4,DAY($AA59)),Info!$AO$7:$AP$17,2,TRUE)="Halv dag"),$D$12,IF(AND($C$47="Ja",AND(OR($G$48&lt;4,AND($G$48=4,$F$48&lt;=DAY($AA59))),OR($G$49&gt;4,AND($G$49=4,$F$49&gt;=DAY($AA59))))),$D$11,$D$10))</f>
        <v>435</v>
      </c>
      <c r="AF59" s="20">
        <f t="shared" si="1"/>
        <v>435</v>
      </c>
      <c r="AG59">
        <f t="shared" si="2"/>
        <v>435</v>
      </c>
      <c r="AH59">
        <f t="shared" si="3"/>
        <v>435</v>
      </c>
      <c r="AI59">
        <f t="shared" si="4"/>
        <v>435</v>
      </c>
      <c r="AJ59">
        <f t="shared" si="5"/>
        <v>435</v>
      </c>
      <c r="AK59">
        <f t="shared" si="6"/>
        <v>465</v>
      </c>
    </row>
    <row r="60" spans="1:37" x14ac:dyDescent="0.2">
      <c r="A60" s="180"/>
      <c r="B60" s="180" t="s">
        <v>152</v>
      </c>
      <c r="C60" s="181" t="s">
        <v>127</v>
      </c>
      <c r="D60" s="180"/>
      <c r="E60" s="180"/>
      <c r="AA60" s="70">
        <f t="shared" si="7"/>
        <v>41659</v>
      </c>
      <c r="AD60">
        <f>IF(AND(VLOOKUP(DATE($E$1,3,DAY($AA60)),Info!$AO$7:$AO$17,1,TRUE)=DATE($E$1,3,DAY($AA60)),VLOOKUP(DATE($E$1,3,DAY($AA60)),Info!$AO$7:$AP$17,2,TRUE)="Halv dag"),$D$12,$D$10)</f>
        <v>465</v>
      </c>
      <c r="AE60">
        <f>IF(AND(VLOOKUP(DATE($E$1,4,DAY($AA60)),Info!$AO$7:$AO$17,1,TRUE)=DATE($E$1,4,DAY($AA60)),VLOOKUP(DATE($E$1,4,DAY($AA60)),Info!$AO$7:$AP$17,2,TRUE)="Halv dag"),$D$12,IF(AND($C$47="Ja",AND(OR($G$48&lt;4,AND($G$48=4,$F$48&lt;=DAY($AA60))),OR($G$49&gt;4,AND($G$49=4,$F$49&gt;=DAY($AA60))))),$D$11,$D$10))</f>
        <v>435</v>
      </c>
      <c r="AF60" s="20">
        <f t="shared" si="1"/>
        <v>435</v>
      </c>
      <c r="AG60">
        <f t="shared" si="2"/>
        <v>435</v>
      </c>
      <c r="AH60">
        <f t="shared" si="3"/>
        <v>435</v>
      </c>
      <c r="AI60">
        <f t="shared" si="4"/>
        <v>435</v>
      </c>
      <c r="AJ60">
        <f t="shared" si="5"/>
        <v>435</v>
      </c>
      <c r="AK60">
        <f t="shared" si="6"/>
        <v>465</v>
      </c>
    </row>
    <row r="61" spans="1:37" x14ac:dyDescent="0.2">
      <c r="A61" s="180"/>
      <c r="D61" s="180"/>
      <c r="E61" s="180"/>
      <c r="AA61" s="70">
        <f t="shared" si="7"/>
        <v>41660</v>
      </c>
      <c r="AD61">
        <f>IF(AND(VLOOKUP(DATE($E$1,3,DAY($AA61)),Info!$AO$7:$AO$17,1,TRUE)=DATE($E$1,3,DAY($AA61)),VLOOKUP(DATE($E$1,3,DAY($AA61)),Info!$AO$7:$AP$17,2,TRUE)="Halv dag"),$D$12,$D$10)</f>
        <v>465</v>
      </c>
      <c r="AE61">
        <f>IF(AND(VLOOKUP(DATE($E$1,4,DAY($AA61)),Info!$AO$7:$AO$17,1,TRUE)=DATE($E$1,4,DAY($AA61)),VLOOKUP(DATE($E$1,4,DAY($AA61)),Info!$AO$7:$AP$17,2,TRUE)="Halv dag"),$D$12,IF(AND($C$47="Ja",AND(OR($G$48&lt;4,AND($G$48=4,$F$48&lt;=DAY($AA61))),OR($G$49&gt;4,AND($G$49=4,$F$49&gt;=DAY($AA61))))),$D$11,$D$10))</f>
        <v>435</v>
      </c>
      <c r="AF61" s="20">
        <f t="shared" si="1"/>
        <v>435</v>
      </c>
      <c r="AG61">
        <f t="shared" si="2"/>
        <v>435</v>
      </c>
      <c r="AH61">
        <f t="shared" si="3"/>
        <v>435</v>
      </c>
      <c r="AI61">
        <f t="shared" si="4"/>
        <v>435</v>
      </c>
      <c r="AJ61">
        <f t="shared" si="5"/>
        <v>435</v>
      </c>
      <c r="AK61">
        <f t="shared" si="6"/>
        <v>465</v>
      </c>
    </row>
    <row r="62" spans="1:37" x14ac:dyDescent="0.2">
      <c r="A62" s="180"/>
      <c r="B62" s="183" t="s">
        <v>155</v>
      </c>
      <c r="C62" s="182" t="s">
        <v>93</v>
      </c>
      <c r="D62" s="180"/>
      <c r="E62" s="180"/>
      <c r="AA62" s="70">
        <f t="shared" si="7"/>
        <v>41661</v>
      </c>
      <c r="AD62">
        <f>IF(AND(VLOOKUP(DATE($E$1,3,DAY($AA62)),Info!$AO$7:$AO$17,1,TRUE)=DATE($E$1,3,DAY($AA62)),VLOOKUP(DATE($E$1,3,DAY($AA62)),Info!$AO$7:$AP$17,2,TRUE)="Halv dag"),$D$12,$D$10)</f>
        <v>465</v>
      </c>
      <c r="AE62">
        <f>IF(AND(VLOOKUP(DATE($E$1,4,DAY($AA62)),Info!$AO$7:$AO$17,1,TRUE)=DATE($E$1,4,DAY($AA62)),VLOOKUP(DATE($E$1,4,DAY($AA62)),Info!$AO$7:$AP$17,2,TRUE)="Halv dag"),$D$12,IF(AND($C$47="Ja",AND(OR($G$48&lt;4,AND($G$48=4,$F$48&lt;=DAY($AA62))),OR($G$49&gt;4,AND($G$49=4,$F$49&gt;=DAY($AA62))))),$D$11,$D$10))</f>
        <v>435</v>
      </c>
      <c r="AF62" s="20">
        <f t="shared" si="1"/>
        <v>435</v>
      </c>
      <c r="AG62">
        <f t="shared" si="2"/>
        <v>435</v>
      </c>
      <c r="AH62">
        <f t="shared" si="3"/>
        <v>435</v>
      </c>
      <c r="AI62">
        <f t="shared" si="4"/>
        <v>435</v>
      </c>
      <c r="AJ62">
        <f t="shared" si="5"/>
        <v>435</v>
      </c>
      <c r="AK62">
        <f t="shared" si="6"/>
        <v>465</v>
      </c>
    </row>
    <row r="63" spans="1:37" x14ac:dyDescent="0.2">
      <c r="A63" s="180"/>
      <c r="B63" s="180"/>
      <c r="C63" s="182" t="s">
        <v>151</v>
      </c>
      <c r="D63" s="180"/>
      <c r="E63" s="180"/>
      <c r="AA63" s="70">
        <f t="shared" si="7"/>
        <v>41662</v>
      </c>
      <c r="AD63">
        <f>IF(AND(VLOOKUP(DATE($E$1,3,DAY($AA63)),Info!$AO$7:$AO$17,1,TRUE)=DATE($E$1,3,DAY($AA63)),VLOOKUP(DATE($E$1,3,DAY($AA63)),Info!$AO$7:$AP$17,2,TRUE)="Halv dag"),$D$12,$D$10)</f>
        <v>465</v>
      </c>
      <c r="AE63">
        <f t="shared" ref="AE63:AE71" si="8">IF(AND($C$47="Ja",AND(OR($G$48&lt;4,AND($G$48=4,$F$48&lt;=DAY($AA63))),OR($G$49&gt;4,AND($G$49=4,$F$49&gt;=DAY($AA63))))),$D$11,$D$10)</f>
        <v>435</v>
      </c>
      <c r="AF63" s="20">
        <f t="shared" si="1"/>
        <v>435</v>
      </c>
      <c r="AG63">
        <f t="shared" si="2"/>
        <v>435</v>
      </c>
      <c r="AH63">
        <f t="shared" si="3"/>
        <v>435</v>
      </c>
      <c r="AI63">
        <f t="shared" si="4"/>
        <v>435</v>
      </c>
      <c r="AJ63">
        <f t="shared" si="5"/>
        <v>435</v>
      </c>
      <c r="AK63">
        <f t="shared" si="6"/>
        <v>465</v>
      </c>
    </row>
    <row r="64" spans="1:37" x14ac:dyDescent="0.2">
      <c r="A64" s="180"/>
      <c r="B64" s="180"/>
      <c r="C64" s="182" t="s">
        <v>153</v>
      </c>
      <c r="D64" s="180"/>
      <c r="E64" s="180"/>
      <c r="AA64" s="70">
        <f t="shared" si="7"/>
        <v>41663</v>
      </c>
      <c r="AD64">
        <f>IF(AND(VLOOKUP(DATE($E$1,3,DAY($AA64)),Info!$AO$7:$AO$17,1,TRUE)=DATE($E$1,3,DAY($AA64)),VLOOKUP(DATE($E$1,3,DAY($AA64)),Info!$AO$7:$AP$17,2,TRUE)="Halv dag"),$D$12,$D$10)</f>
        <v>465</v>
      </c>
      <c r="AE64">
        <f t="shared" si="8"/>
        <v>435</v>
      </c>
      <c r="AF64" s="20">
        <f t="shared" si="1"/>
        <v>435</v>
      </c>
      <c r="AG64">
        <f t="shared" si="2"/>
        <v>435</v>
      </c>
      <c r="AH64">
        <f t="shared" si="3"/>
        <v>435</v>
      </c>
      <c r="AI64">
        <f t="shared" si="4"/>
        <v>435</v>
      </c>
      <c r="AJ64">
        <f t="shared" si="5"/>
        <v>435</v>
      </c>
      <c r="AK64">
        <f t="shared" si="6"/>
        <v>465</v>
      </c>
    </row>
    <row r="65" spans="1:39" x14ac:dyDescent="0.2">
      <c r="C65" s="182" t="s">
        <v>154</v>
      </c>
      <c r="AA65" s="70">
        <f t="shared" si="7"/>
        <v>41664</v>
      </c>
      <c r="AD65">
        <f>IF(AND(VLOOKUP(DATE($E$1,3,DAY($AA65)),Info!$AO$7:$AO$17,1,TRUE)=DATE($E$1,3,DAY($AA65)),VLOOKUP(DATE($E$1,3,DAY($AA65)),Info!$AO$7:$AP$17,2,TRUE)="Halv dag"),$D$12,$D$10)</f>
        <v>465</v>
      </c>
      <c r="AE65">
        <f t="shared" si="8"/>
        <v>435</v>
      </c>
      <c r="AF65" s="20">
        <f t="shared" si="1"/>
        <v>435</v>
      </c>
      <c r="AG65">
        <f t="shared" si="2"/>
        <v>435</v>
      </c>
      <c r="AH65">
        <f t="shared" si="3"/>
        <v>435</v>
      </c>
      <c r="AI65">
        <f t="shared" si="4"/>
        <v>435</v>
      </c>
      <c r="AJ65">
        <f t="shared" si="5"/>
        <v>435</v>
      </c>
      <c r="AK65">
        <f t="shared" si="6"/>
        <v>465</v>
      </c>
    </row>
    <row r="66" spans="1:39" x14ac:dyDescent="0.2">
      <c r="AA66" s="70">
        <f t="shared" si="7"/>
        <v>41665</v>
      </c>
      <c r="AD66">
        <f>IF(AND(VLOOKUP(DATE($E$1,3,DAY($AA66)),Info!$AO$7:$AO$17,1,TRUE)=DATE($E$1,3,DAY($AA66)),VLOOKUP(DATE($E$1,3,DAY($AA66)),Info!$AO$7:$AP$17,2,TRUE)="Halv dag"),$D$12,$D$10)</f>
        <v>465</v>
      </c>
      <c r="AE66">
        <f t="shared" si="8"/>
        <v>435</v>
      </c>
      <c r="AF66" s="20">
        <f t="shared" si="1"/>
        <v>435</v>
      </c>
      <c r="AG66">
        <f t="shared" si="2"/>
        <v>435</v>
      </c>
      <c r="AH66">
        <f t="shared" si="3"/>
        <v>435</v>
      </c>
      <c r="AI66">
        <f t="shared" si="4"/>
        <v>435</v>
      </c>
      <c r="AJ66">
        <f t="shared" si="5"/>
        <v>435</v>
      </c>
      <c r="AK66">
        <f t="shared" si="6"/>
        <v>465</v>
      </c>
    </row>
    <row r="67" spans="1:39" x14ac:dyDescent="0.2">
      <c r="A67" s="180"/>
      <c r="B67" s="183" t="s">
        <v>156</v>
      </c>
      <c r="C67" s="182" t="s">
        <v>157</v>
      </c>
      <c r="D67" s="180"/>
      <c r="E67" s="180"/>
      <c r="AA67" s="70">
        <f t="shared" si="7"/>
        <v>41666</v>
      </c>
      <c r="AD67">
        <f>IF(AND(VLOOKUP(DATE($E$1,3,DAY($AA67)),Info!$AO$7:$AO$17,1,TRUE)=DATE($E$1,3,DAY($AA67)),VLOOKUP(DATE($E$1,3,DAY($AA67)),Info!$AO$7:$AP$17,2,TRUE)="Halv dag"),$D$12,$D$10)</f>
        <v>465</v>
      </c>
      <c r="AE67">
        <f t="shared" si="8"/>
        <v>435</v>
      </c>
      <c r="AF67" s="20">
        <f t="shared" si="1"/>
        <v>435</v>
      </c>
      <c r="AG67">
        <f t="shared" si="2"/>
        <v>435</v>
      </c>
      <c r="AH67">
        <f t="shared" si="3"/>
        <v>435</v>
      </c>
      <c r="AI67">
        <f t="shared" si="4"/>
        <v>435</v>
      </c>
      <c r="AJ67">
        <f t="shared" si="5"/>
        <v>435</v>
      </c>
      <c r="AK67">
        <f t="shared" si="6"/>
        <v>465</v>
      </c>
      <c r="AM67">
        <f>IF(D$10&lt;C$45,D$10,C$45)</f>
        <v>465</v>
      </c>
    </row>
    <row r="68" spans="1:39" x14ac:dyDescent="0.2">
      <c r="A68" s="180"/>
      <c r="B68" s="183"/>
      <c r="C68" s="182" t="s">
        <v>163</v>
      </c>
      <c r="D68" s="180"/>
      <c r="E68" s="180"/>
      <c r="AA68" s="70">
        <f t="shared" si="7"/>
        <v>41667</v>
      </c>
      <c r="AD68">
        <f>IF(AND(VLOOKUP(DATE($E$1,3,DAY($AA68)),Info!$AO$7:$AO$17,1,TRUE)=DATE($E$1,3,DAY($AA68)),VLOOKUP(DATE($E$1,3,DAY($AA68)),Info!$AO$7:$AP$17,2,TRUE)="Halv dag"),$D$12,$D$10)</f>
        <v>465</v>
      </c>
      <c r="AE68">
        <f t="shared" si="8"/>
        <v>435</v>
      </c>
      <c r="AF68" s="20">
        <f t="shared" si="1"/>
        <v>435</v>
      </c>
      <c r="AG68">
        <f t="shared" si="2"/>
        <v>435</v>
      </c>
      <c r="AH68">
        <f t="shared" si="3"/>
        <v>435</v>
      </c>
      <c r="AI68">
        <f t="shared" si="4"/>
        <v>435</v>
      </c>
      <c r="AJ68">
        <f t="shared" si="5"/>
        <v>435</v>
      </c>
      <c r="AK68">
        <f t="shared" si="6"/>
        <v>465</v>
      </c>
      <c r="AM68">
        <f>IF(D$10&lt;C$45,D$10,C$45)</f>
        <v>465</v>
      </c>
    </row>
    <row r="69" spans="1:39" x14ac:dyDescent="0.2">
      <c r="AA69" s="70">
        <f t="shared" si="7"/>
        <v>41668</v>
      </c>
      <c r="AD69">
        <f>IF(AND(VLOOKUP(DATE($E$1,3,DAY($AA69)),Info!$AO$7:$AO$17,1,TRUE)=DATE($E$1,3,DAY($AA69)),VLOOKUP(DATE($E$1,3,DAY($AA69)),Info!$AO$7:$AP$17,2,TRUE)="Halv dag"),$D$12,$D$10)</f>
        <v>465</v>
      </c>
      <c r="AE69">
        <f t="shared" si="8"/>
        <v>435</v>
      </c>
      <c r="AF69" s="20">
        <f t="shared" si="1"/>
        <v>435</v>
      </c>
      <c r="AG69">
        <f t="shared" si="2"/>
        <v>435</v>
      </c>
      <c r="AH69">
        <f t="shared" si="3"/>
        <v>435</v>
      </c>
      <c r="AI69">
        <f t="shared" si="4"/>
        <v>435</v>
      </c>
      <c r="AJ69">
        <f t="shared" si="5"/>
        <v>435</v>
      </c>
      <c r="AK69">
        <f t="shared" si="6"/>
        <v>465</v>
      </c>
      <c r="AM69">
        <f>IF(D$10&lt;C$45,D$10,C$45)</f>
        <v>465</v>
      </c>
    </row>
    <row r="70" spans="1:39" x14ac:dyDescent="0.2">
      <c r="B70" s="283" t="s">
        <v>194</v>
      </c>
      <c r="C70" s="182" t="s">
        <v>195</v>
      </c>
      <c r="AA70" s="70">
        <f t="shared" si="7"/>
        <v>41669</v>
      </c>
      <c r="AD70">
        <f>IF(AND(VLOOKUP(DATE($E$1,3,DAY($AA70)),Info!$AO$7:$AO$17,1,TRUE)=DATE($E$1,3,DAY($AA70)),VLOOKUP(DATE($E$1,3,DAY($AA70)),Info!$AO$7:$AP$17,2,TRUE)="Halv dag"),$D$12,$D$10)</f>
        <v>465</v>
      </c>
      <c r="AE70">
        <f t="shared" si="8"/>
        <v>435</v>
      </c>
      <c r="AF70" s="20">
        <f t="shared" si="1"/>
        <v>435</v>
      </c>
      <c r="AG70">
        <f t="shared" si="2"/>
        <v>435</v>
      </c>
      <c r="AH70">
        <f t="shared" si="3"/>
        <v>435</v>
      </c>
      <c r="AI70">
        <f t="shared" si="4"/>
        <v>435</v>
      </c>
      <c r="AJ70">
        <f t="shared" si="5"/>
        <v>435</v>
      </c>
      <c r="AK70">
        <f t="shared" si="6"/>
        <v>465</v>
      </c>
      <c r="AM70">
        <f>IF(D$10&lt;C$45,D$10,C$45)</f>
        <v>465</v>
      </c>
    </row>
    <row r="71" spans="1:39" x14ac:dyDescent="0.2">
      <c r="A71" s="180"/>
      <c r="B71" s="180"/>
      <c r="C71" s="182" t="s">
        <v>196</v>
      </c>
      <c r="D71" s="180"/>
      <c r="E71" s="180"/>
      <c r="AA71" s="70">
        <f t="shared" si="7"/>
        <v>41670</v>
      </c>
      <c r="AD71">
        <f>IF(AND(VLOOKUP(DATE($E$1,3,DAY($AA71)),Info!$AO$7:$AO$17,1,TRUE)=DATE($E$1,3,DAY($AA71)),VLOOKUP(DATE($E$1,3,DAY($AA71)),Info!$AO$7:$AP$17,2,TRUE)="Halv dag"),$D$12,$D$10)</f>
        <v>465</v>
      </c>
      <c r="AE71">
        <f t="shared" si="8"/>
        <v>435</v>
      </c>
      <c r="AF71" s="20">
        <f t="shared" si="1"/>
        <v>435</v>
      </c>
      <c r="AG71">
        <f t="shared" si="2"/>
        <v>435</v>
      </c>
      <c r="AH71">
        <f t="shared" si="3"/>
        <v>435</v>
      </c>
      <c r="AI71">
        <f t="shared" si="4"/>
        <v>435</v>
      </c>
      <c r="AJ71">
        <f t="shared" si="5"/>
        <v>465</v>
      </c>
      <c r="AK71">
        <f t="shared" si="6"/>
        <v>465</v>
      </c>
    </row>
    <row r="72" spans="1:39" x14ac:dyDescent="0.2">
      <c r="D72" s="180"/>
      <c r="E72" s="180"/>
    </row>
    <row r="73" spans="1:39" x14ac:dyDescent="0.2">
      <c r="B73" s="283" t="s">
        <v>212</v>
      </c>
      <c r="C73" s="182" t="s">
        <v>213</v>
      </c>
      <c r="D73" s="180"/>
      <c r="E73" s="180"/>
    </row>
    <row r="74" spans="1:39" x14ac:dyDescent="0.2">
      <c r="D74" s="180"/>
      <c r="E74" s="180"/>
    </row>
    <row r="75" spans="1:39" x14ac:dyDescent="0.2">
      <c r="A75" s="180"/>
      <c r="B75" s="221" t="s">
        <v>158</v>
      </c>
      <c r="C75" s="182" t="s">
        <v>159</v>
      </c>
      <c r="D75" s="180"/>
      <c r="E75" s="180"/>
    </row>
    <row r="76" spans="1:39" x14ac:dyDescent="0.2">
      <c r="A76" s="180"/>
      <c r="B76" s="180"/>
      <c r="C76" s="182" t="s">
        <v>160</v>
      </c>
    </row>
    <row r="77" spans="1:39" x14ac:dyDescent="0.2">
      <c r="A77" s="180"/>
      <c r="B77" s="180"/>
      <c r="C77" s="182" t="s">
        <v>161</v>
      </c>
    </row>
    <row r="78" spans="1:39" x14ac:dyDescent="0.2">
      <c r="C78" s="182" t="s">
        <v>193</v>
      </c>
    </row>
    <row r="79" spans="1:39" x14ac:dyDescent="0.2">
      <c r="A79" s="180"/>
      <c r="B79" s="180"/>
      <c r="C79" s="182" t="s">
        <v>192</v>
      </c>
    </row>
    <row r="80" spans="1:39" x14ac:dyDescent="0.2">
      <c r="C80" s="182" t="s">
        <v>162</v>
      </c>
    </row>
    <row r="91" spans="12:20" x14ac:dyDescent="0.2">
      <c r="M91" s="430" t="str">
        <f>"Desember "&amp;$E$1-1</f>
        <v>Desember 2013</v>
      </c>
      <c r="N91" s="431"/>
      <c r="O91" s="431"/>
      <c r="P91" s="431"/>
      <c r="Q91" s="431"/>
      <c r="R91" s="431"/>
      <c r="S91" s="431"/>
      <c r="T91" s="431"/>
    </row>
    <row r="92" spans="12:20" x14ac:dyDescent="0.2">
      <c r="M92" s="238" t="s">
        <v>183</v>
      </c>
      <c r="N92" s="236" t="s">
        <v>176</v>
      </c>
      <c r="O92" s="236" t="s">
        <v>179</v>
      </c>
      <c r="P92" s="236" t="s">
        <v>177</v>
      </c>
      <c r="Q92" s="236" t="s">
        <v>178</v>
      </c>
      <c r="R92" s="236" t="s">
        <v>180</v>
      </c>
      <c r="S92" s="236" t="s">
        <v>181</v>
      </c>
      <c r="T92" s="237" t="s">
        <v>182</v>
      </c>
    </row>
    <row r="93" spans="12:20" x14ac:dyDescent="0.2">
      <c r="L93" s="261">
        <f>DATE($E$1-1,12,1)</f>
        <v>41609</v>
      </c>
      <c r="M93" s="234">
        <f>INT((L93-(DATE(YEAR(L93+(MOD(8-WEEKDAY(L93),7)-3)),1,1))-3+
MOD(WEEKDAY(DATE(YEAR(L93+(MOD(8-WEEKDAY(L93),7)-3)),1,1))+1,7))/7)+1</f>
        <v>48</v>
      </c>
      <c r="N93" s="233">
        <f>IF(WEEKDAY(L93,2)=1,L93,)</f>
        <v>0</v>
      </c>
      <c r="O93" s="233">
        <f>IF(WEEKDAY(L93,2)=2,L93,IF(WEEKDAY(L93,2)&lt;2,N93+1,))</f>
        <v>0</v>
      </c>
      <c r="P93" s="233">
        <f>IF(WEEKDAY(L93,2)=3,L93,IF(WEEKDAY(L93,2)&lt;3,O93+1,))</f>
        <v>0</v>
      </c>
      <c r="Q93" s="233">
        <f>IF(WEEKDAY(L93,2)=4,L93,IF(WEEKDAY(L93,2)&lt;4,P93+1,))</f>
        <v>0</v>
      </c>
      <c r="R93" s="233">
        <f>IF(WEEKDAY(L93,2)=5,L93,IF(WEEKDAY(L93,2)&lt;5,Q93+1,))</f>
        <v>0</v>
      </c>
      <c r="S93" s="233">
        <f>IF(WEEKDAY(L93,2)=6,L93,IF(WEEKDAY(L93,2)&lt;6,R93+1,))</f>
        <v>0</v>
      </c>
      <c r="T93" s="229">
        <f>IF(WEEKDAY(L93,2)=7,L93,S93+1)</f>
        <v>41609</v>
      </c>
    </row>
    <row r="94" spans="12:20" x14ac:dyDescent="0.2">
      <c r="L94" s="261"/>
      <c r="M94" s="234">
        <f>M93+1</f>
        <v>49</v>
      </c>
      <c r="N94" s="232">
        <f>T93+1</f>
        <v>41610</v>
      </c>
      <c r="O94" s="232">
        <f t="shared" ref="O94:T94" si="9">N94+1</f>
        <v>41611</v>
      </c>
      <c r="P94" s="232">
        <f t="shared" si="9"/>
        <v>41612</v>
      </c>
      <c r="Q94" s="232">
        <f t="shared" si="9"/>
        <v>41613</v>
      </c>
      <c r="R94" s="232">
        <f t="shared" si="9"/>
        <v>41614</v>
      </c>
      <c r="S94" s="232">
        <f t="shared" si="9"/>
        <v>41615</v>
      </c>
      <c r="T94" s="228">
        <f t="shared" si="9"/>
        <v>41616</v>
      </c>
    </row>
    <row r="95" spans="12:20" x14ac:dyDescent="0.2">
      <c r="M95" s="234">
        <f>M94+1</f>
        <v>50</v>
      </c>
      <c r="N95" s="232">
        <f>T94+1</f>
        <v>41617</v>
      </c>
      <c r="O95" s="232">
        <f t="shared" ref="O95:T95" si="10">N95+1</f>
        <v>41618</v>
      </c>
      <c r="P95" s="232">
        <f t="shared" si="10"/>
        <v>41619</v>
      </c>
      <c r="Q95" s="232">
        <f t="shared" si="10"/>
        <v>41620</v>
      </c>
      <c r="R95" s="232">
        <f t="shared" si="10"/>
        <v>41621</v>
      </c>
      <c r="S95" s="232">
        <f t="shared" si="10"/>
        <v>41622</v>
      </c>
      <c r="T95" s="228">
        <f t="shared" si="10"/>
        <v>41623</v>
      </c>
    </row>
    <row r="96" spans="12:20" x14ac:dyDescent="0.2">
      <c r="M96" s="234">
        <f>M95+1</f>
        <v>51</v>
      </c>
      <c r="N96" s="232">
        <f>T95+1</f>
        <v>41624</v>
      </c>
      <c r="O96" s="232">
        <f t="shared" ref="O96:T96" si="11">N96+1</f>
        <v>41625</v>
      </c>
      <c r="P96" s="232">
        <f t="shared" si="11"/>
        <v>41626</v>
      </c>
      <c r="Q96" s="232">
        <f t="shared" si="11"/>
        <v>41627</v>
      </c>
      <c r="R96" s="232">
        <f t="shared" si="11"/>
        <v>41628</v>
      </c>
      <c r="S96" s="232">
        <f t="shared" si="11"/>
        <v>41629</v>
      </c>
      <c r="T96" s="228">
        <f t="shared" si="11"/>
        <v>41630</v>
      </c>
    </row>
    <row r="97" spans="12:21" x14ac:dyDescent="0.2">
      <c r="M97" s="234">
        <f>IF(N97,IF(Q97,M96+1,1),)</f>
        <v>52</v>
      </c>
      <c r="N97" s="232">
        <f>T96+1</f>
        <v>41631</v>
      </c>
      <c r="O97" s="232">
        <f>N97+1</f>
        <v>41632</v>
      </c>
      <c r="P97" s="232">
        <f>O97+1</f>
        <v>41633</v>
      </c>
      <c r="Q97" s="233">
        <f>IF(OR(DAY(P97)=0,DAY(P97)=31),,P97+1)</f>
        <v>41634</v>
      </c>
      <c r="R97" s="233">
        <f>IF(OR(DAY(Q97)=0,DAY(Q97)=31),,Q97+1)</f>
        <v>41635</v>
      </c>
      <c r="S97" s="233">
        <f>IF(OR(DAY(R97)=0,DAY(R97)=31),,R97+1)</f>
        <v>41636</v>
      </c>
      <c r="T97" s="229">
        <f>IF(OR(DAY(S97)=0,DAY(S97)=31),,S97+1)</f>
        <v>41637</v>
      </c>
    </row>
    <row r="98" spans="12:21" x14ac:dyDescent="0.2">
      <c r="M98" s="235">
        <f>IF(N98,1,)</f>
        <v>1</v>
      </c>
      <c r="N98" s="241">
        <f>IF(OR(DAY(T97)=0,DAY(T97)=31),,T97+1)</f>
        <v>41638</v>
      </c>
      <c r="O98" s="241">
        <f>IF(OR(DAY(N98)=0,DAY(N98)=31),,N98+1)</f>
        <v>41639</v>
      </c>
      <c r="P98" s="241">
        <f>IF(OR(DAY(O98)=0,DAY(O98)=31),,O98+1)</f>
        <v>0</v>
      </c>
      <c r="Q98" s="241"/>
      <c r="R98" s="241"/>
      <c r="S98" s="241"/>
      <c r="T98" s="230"/>
    </row>
    <row r="100" spans="12:21" x14ac:dyDescent="0.2">
      <c r="M100" s="430" t="str">
        <f>"Januar "&amp;$E$1</f>
        <v>Januar 2014</v>
      </c>
      <c r="N100" s="431"/>
      <c r="O100" s="431"/>
      <c r="P100" s="431"/>
      <c r="Q100" s="431"/>
      <c r="R100" s="431"/>
      <c r="S100" s="431"/>
      <c r="T100" s="431"/>
      <c r="U100" s="231"/>
    </row>
    <row r="101" spans="12:21" x14ac:dyDescent="0.2">
      <c r="M101" s="238" t="s">
        <v>183</v>
      </c>
      <c r="N101" s="236" t="s">
        <v>176</v>
      </c>
      <c r="O101" s="236" t="s">
        <v>179</v>
      </c>
      <c r="P101" s="236" t="s">
        <v>177</v>
      </c>
      <c r="Q101" s="236" t="s">
        <v>178</v>
      </c>
      <c r="R101" s="236" t="s">
        <v>180</v>
      </c>
      <c r="S101" s="236" t="s">
        <v>181</v>
      </c>
      <c r="T101" s="237" t="s">
        <v>182</v>
      </c>
      <c r="U101" s="231"/>
    </row>
    <row r="102" spans="12:21" x14ac:dyDescent="0.2">
      <c r="L102" s="261">
        <f>DATE($E$1,1,1)</f>
        <v>41640</v>
      </c>
      <c r="M102" s="234">
        <f>INT((L102-(DATE(YEAR(L102+(MOD(8-WEEKDAY(L102),7)-3)),1,1))-3+
MOD(WEEKDAY(DATE(YEAR(L102+(MOD(8-WEEKDAY(L102),7)-3)),1,1))+1,7))/7)+1</f>
        <v>1</v>
      </c>
      <c r="N102" s="233">
        <f>IF(WEEKDAY(L102,2)=1,L102,)</f>
        <v>0</v>
      </c>
      <c r="O102" s="233">
        <f>IF(WEEKDAY(L102,2)=2,L102,IF(WEEKDAY(L102,2)&lt;2,N102+1,))</f>
        <v>0</v>
      </c>
      <c r="P102" s="233">
        <f>IF(WEEKDAY(L102,2)=3,L102,IF(WEEKDAY(L102,2)&lt;3,O102+1,))</f>
        <v>41640</v>
      </c>
      <c r="Q102" s="233">
        <f>IF(WEEKDAY(L102,2)=4,L102,IF(WEEKDAY(L102,2)&lt;4,P102+1,))</f>
        <v>41641</v>
      </c>
      <c r="R102" s="233">
        <f>IF(WEEKDAY(L102,2)=5,L102,IF(WEEKDAY(L102,2)&lt;5,Q102+1,))</f>
        <v>41642</v>
      </c>
      <c r="S102" s="233">
        <f>IF(WEEKDAY(L102,2)=6,L102,IF(WEEKDAY(L102,2)&lt;6,R102+1,))</f>
        <v>41643</v>
      </c>
      <c r="T102" s="229">
        <f>IF(WEEKDAY(L102,2)=7,L102,S102+1)</f>
        <v>41644</v>
      </c>
    </row>
    <row r="103" spans="12:21" x14ac:dyDescent="0.2">
      <c r="L103" s="261">
        <f>DATE($E$1,1,8)</f>
        <v>41647</v>
      </c>
      <c r="M103" s="234">
        <f>INT((L103-(DATE(YEAR(L103+(MOD(8-WEEKDAY(L103),7)-3)),1,1))-3+
MOD(WEEKDAY(DATE(YEAR(L103+(MOD(8-WEEKDAY(L103),7)-3)),1,1))+1,7))/7)+1</f>
        <v>2</v>
      </c>
      <c r="N103" s="232">
        <f>T102+1</f>
        <v>41645</v>
      </c>
      <c r="O103" s="232">
        <f t="shared" ref="O103:T104" si="12">N103+1</f>
        <v>41646</v>
      </c>
      <c r="P103" s="232">
        <f t="shared" si="12"/>
        <v>41647</v>
      </c>
      <c r="Q103" s="232">
        <f t="shared" si="12"/>
        <v>41648</v>
      </c>
      <c r="R103" s="232">
        <f t="shared" si="12"/>
        <v>41649</v>
      </c>
      <c r="S103" s="232">
        <f t="shared" si="12"/>
        <v>41650</v>
      </c>
      <c r="T103" s="228">
        <f t="shared" si="12"/>
        <v>41651</v>
      </c>
    </row>
    <row r="104" spans="12:21" x14ac:dyDescent="0.2">
      <c r="M104" s="234">
        <f>M103+1</f>
        <v>3</v>
      </c>
      <c r="N104" s="232">
        <f>T103+1</f>
        <v>41652</v>
      </c>
      <c r="O104" s="232">
        <f t="shared" si="12"/>
        <v>41653</v>
      </c>
      <c r="P104" s="232">
        <f t="shared" si="12"/>
        <v>41654</v>
      </c>
      <c r="Q104" s="232">
        <f t="shared" si="12"/>
        <v>41655</v>
      </c>
      <c r="R104" s="232">
        <f t="shared" si="12"/>
        <v>41656</v>
      </c>
      <c r="S104" s="232">
        <f t="shared" si="12"/>
        <v>41657</v>
      </c>
      <c r="T104" s="228">
        <f t="shared" si="12"/>
        <v>41658</v>
      </c>
    </row>
    <row r="105" spans="12:21" x14ac:dyDescent="0.2">
      <c r="M105" s="234">
        <f>M104+1</f>
        <v>4</v>
      </c>
      <c r="N105" s="232">
        <f>T104+1</f>
        <v>41659</v>
      </c>
      <c r="O105" s="232">
        <f t="shared" ref="O105:T105" si="13">N105+1</f>
        <v>41660</v>
      </c>
      <c r="P105" s="232">
        <f t="shared" si="13"/>
        <v>41661</v>
      </c>
      <c r="Q105" s="232">
        <f t="shared" si="13"/>
        <v>41662</v>
      </c>
      <c r="R105" s="232">
        <f t="shared" si="13"/>
        <v>41663</v>
      </c>
      <c r="S105" s="232">
        <f t="shared" si="13"/>
        <v>41664</v>
      </c>
      <c r="T105" s="228">
        <f t="shared" si="13"/>
        <v>41665</v>
      </c>
    </row>
    <row r="106" spans="12:21" x14ac:dyDescent="0.2">
      <c r="M106" s="234">
        <f>IF(N106,M105+1,)</f>
        <v>5</v>
      </c>
      <c r="N106" s="232">
        <f>T105+1</f>
        <v>41666</v>
      </c>
      <c r="O106" s="232">
        <f>N106+1</f>
        <v>41667</v>
      </c>
      <c r="P106" s="232">
        <f>O106+1</f>
        <v>41668</v>
      </c>
      <c r="Q106" s="233">
        <f>IF(OR(DAY(P106)=0,DAY(P106)=31),,P106+1)</f>
        <v>41669</v>
      </c>
      <c r="R106" s="233">
        <f>IF(OR(DAY(Q106)=0,DAY(Q106)=31),,Q106+1)</f>
        <v>41670</v>
      </c>
      <c r="S106" s="233">
        <f>IF(OR(DAY(R106)=0,DAY(R106)=31),,R106+1)</f>
        <v>0</v>
      </c>
      <c r="T106" s="229">
        <f>IF(OR(DAY(S106)=0,DAY(S106)=31),,S106+1)</f>
        <v>0</v>
      </c>
    </row>
    <row r="107" spans="12:21" x14ac:dyDescent="0.2">
      <c r="M107" s="235">
        <f>IF(N107,M106+1,)</f>
        <v>0</v>
      </c>
      <c r="N107" s="241">
        <f>IF(OR(DAY(T106)=0,DAY(T106)=31),,T106+1)</f>
        <v>0</v>
      </c>
      <c r="O107" s="241">
        <f>IF(OR(DAY(N107)=0,DAY(N107)=31),,N107+1)</f>
        <v>0</v>
      </c>
      <c r="P107" s="241">
        <f>IF(OR(DAY(O107)=0,DAY(O107)=31),,O107+1)</f>
        <v>0</v>
      </c>
      <c r="Q107" s="241"/>
      <c r="R107" s="241"/>
      <c r="S107" s="241"/>
      <c r="T107" s="230"/>
    </row>
    <row r="108" spans="12:21" x14ac:dyDescent="0.2">
      <c r="N108" s="227"/>
      <c r="O108" s="227"/>
      <c r="P108" s="227"/>
      <c r="Q108" s="227"/>
      <c r="R108" s="227"/>
      <c r="S108" s="227"/>
      <c r="T108" s="227"/>
    </row>
    <row r="109" spans="12:21" x14ac:dyDescent="0.2">
      <c r="M109" s="430" t="str">
        <f>"Februar "&amp;$E$1</f>
        <v>Februar 2014</v>
      </c>
      <c r="N109" s="431"/>
      <c r="O109" s="431"/>
      <c r="P109" s="431"/>
      <c r="Q109" s="431"/>
      <c r="R109" s="431"/>
      <c r="S109" s="431"/>
      <c r="T109" s="431"/>
    </row>
    <row r="110" spans="12:21" x14ac:dyDescent="0.2">
      <c r="M110" s="238" t="s">
        <v>183</v>
      </c>
      <c r="N110" s="236" t="s">
        <v>176</v>
      </c>
      <c r="O110" s="236" t="s">
        <v>179</v>
      </c>
      <c r="P110" s="236" t="s">
        <v>177</v>
      </c>
      <c r="Q110" s="236" t="s">
        <v>178</v>
      </c>
      <c r="R110" s="236" t="s">
        <v>180</v>
      </c>
      <c r="S110" s="236" t="s">
        <v>181</v>
      </c>
      <c r="T110" s="237" t="s">
        <v>182</v>
      </c>
    </row>
    <row r="111" spans="12:21" x14ac:dyDescent="0.2">
      <c r="L111" s="262">
        <f>DATE($E$1,2,1)</f>
        <v>41671</v>
      </c>
      <c r="M111" s="234">
        <f>INT((L111-(DATE(YEAR(L111+(MOD(8-WEEKDAY(L111),7)-3)),1,1))-3+
MOD(WEEKDAY(DATE(YEAR(L111+(MOD(8-WEEKDAY(L111),7)-3)),1,1))+1,7))/7)+1</f>
        <v>5</v>
      </c>
      <c r="N111" s="233">
        <f>IF(WEEKDAY(L111,2)=1,L111,)</f>
        <v>0</v>
      </c>
      <c r="O111" s="233">
        <f>IF(WEEKDAY(L111,2)=2,L111,IF(WEEKDAY(L111,2)&lt;2,N111+1,))</f>
        <v>0</v>
      </c>
      <c r="P111" s="233">
        <f>IF(WEEKDAY(L111,2)=3,L111,IF(WEEKDAY(L111,2)&lt;3,O111+1,))</f>
        <v>0</v>
      </c>
      <c r="Q111" s="233">
        <f>IF(WEEKDAY(L111,2)=4,L111,IF(WEEKDAY(L111,2)&lt;4,P111+1,))</f>
        <v>0</v>
      </c>
      <c r="R111" s="233">
        <f>IF(WEEKDAY(L111,2)=5,L111,IF(WEEKDAY(L111,2)&lt;5,Q111+1,))</f>
        <v>0</v>
      </c>
      <c r="S111" s="233">
        <f>IF(WEEKDAY(L111,2)=6,L111,IF(WEEKDAY(L111,2)&lt;6,R111+1,))</f>
        <v>41671</v>
      </c>
      <c r="T111" s="228">
        <f>IF(WEEKDAY(L111,2)=7,L111,S111+1)</f>
        <v>41672</v>
      </c>
    </row>
    <row r="112" spans="12:21" x14ac:dyDescent="0.2">
      <c r="M112" s="234">
        <f>M111+1</f>
        <v>6</v>
      </c>
      <c r="N112" s="232">
        <f>T111+1</f>
        <v>41673</v>
      </c>
      <c r="O112" s="232">
        <f t="shared" ref="O112:T112" si="14">N112+1</f>
        <v>41674</v>
      </c>
      <c r="P112" s="232">
        <f t="shared" si="14"/>
        <v>41675</v>
      </c>
      <c r="Q112" s="232">
        <f t="shared" si="14"/>
        <v>41676</v>
      </c>
      <c r="R112" s="232">
        <f t="shared" si="14"/>
        <v>41677</v>
      </c>
      <c r="S112" s="232">
        <f t="shared" si="14"/>
        <v>41678</v>
      </c>
      <c r="T112" s="228">
        <f t="shared" si="14"/>
        <v>41679</v>
      </c>
    </row>
    <row r="113" spans="12:20" x14ac:dyDescent="0.2">
      <c r="M113" s="234">
        <f>M112+1</f>
        <v>7</v>
      </c>
      <c r="N113" s="232">
        <f>T112+1</f>
        <v>41680</v>
      </c>
      <c r="O113" s="232">
        <f t="shared" ref="O113:T113" si="15">N113+1</f>
        <v>41681</v>
      </c>
      <c r="P113" s="232">
        <f t="shared" si="15"/>
        <v>41682</v>
      </c>
      <c r="Q113" s="232">
        <f t="shared" si="15"/>
        <v>41683</v>
      </c>
      <c r="R113" s="232">
        <f t="shared" si="15"/>
        <v>41684</v>
      </c>
      <c r="S113" s="232">
        <f t="shared" si="15"/>
        <v>41685</v>
      </c>
      <c r="T113" s="228">
        <f t="shared" si="15"/>
        <v>41686</v>
      </c>
    </row>
    <row r="114" spans="12:20" x14ac:dyDescent="0.2">
      <c r="M114" s="234">
        <f>M113+1</f>
        <v>8</v>
      </c>
      <c r="N114" s="232">
        <f>T113+1</f>
        <v>41687</v>
      </c>
      <c r="O114" s="232">
        <f t="shared" ref="O114:T114" si="16">N114+1</f>
        <v>41688</v>
      </c>
      <c r="P114" s="232">
        <f t="shared" si="16"/>
        <v>41689</v>
      </c>
      <c r="Q114" s="232">
        <f t="shared" si="16"/>
        <v>41690</v>
      </c>
      <c r="R114" s="232">
        <f t="shared" si="16"/>
        <v>41691</v>
      </c>
      <c r="S114" s="232">
        <f t="shared" si="16"/>
        <v>41692</v>
      </c>
      <c r="T114" s="228">
        <f t="shared" si="16"/>
        <v>41693</v>
      </c>
    </row>
    <row r="115" spans="12:20" x14ac:dyDescent="0.2">
      <c r="M115" s="239">
        <f>IF(N115,M114+1,)</f>
        <v>9</v>
      </c>
      <c r="N115" s="233">
        <f>T114+1</f>
        <v>41694</v>
      </c>
      <c r="O115" s="233">
        <f t="shared" ref="O115:T115" si="17">N115+1</f>
        <v>41695</v>
      </c>
      <c r="P115" s="233">
        <f t="shared" si="17"/>
        <v>41696</v>
      </c>
      <c r="Q115" s="233">
        <f t="shared" si="17"/>
        <v>41697</v>
      </c>
      <c r="R115" s="233">
        <f t="shared" si="17"/>
        <v>41698</v>
      </c>
      <c r="S115" s="233">
        <f t="shared" si="17"/>
        <v>41699</v>
      </c>
      <c r="T115" s="229">
        <f t="shared" si="17"/>
        <v>41700</v>
      </c>
    </row>
    <row r="116" spans="12:20" x14ac:dyDescent="0.2">
      <c r="M116" s="235"/>
      <c r="N116" s="241"/>
      <c r="O116" s="241"/>
      <c r="P116" s="241"/>
      <c r="Q116" s="241"/>
      <c r="R116" s="241"/>
      <c r="S116" s="241"/>
      <c r="T116" s="230"/>
    </row>
    <row r="117" spans="12:20" x14ac:dyDescent="0.2">
      <c r="N117" s="227"/>
      <c r="O117" s="227"/>
      <c r="P117" s="227"/>
      <c r="Q117" s="227"/>
      <c r="R117" s="227"/>
      <c r="S117" s="227"/>
      <c r="T117" s="227"/>
    </row>
    <row r="118" spans="12:20" x14ac:dyDescent="0.2">
      <c r="M118" s="430" t="str">
        <f>"Mars "&amp;$E$1</f>
        <v>Mars 2014</v>
      </c>
      <c r="N118" s="431"/>
      <c r="O118" s="431"/>
      <c r="P118" s="431"/>
      <c r="Q118" s="431"/>
      <c r="R118" s="431"/>
      <c r="S118" s="431"/>
      <c r="T118" s="431"/>
    </row>
    <row r="119" spans="12:20" x14ac:dyDescent="0.2">
      <c r="M119" s="238" t="s">
        <v>183</v>
      </c>
      <c r="N119" s="236" t="s">
        <v>176</v>
      </c>
      <c r="O119" s="236" t="s">
        <v>179</v>
      </c>
      <c r="P119" s="236" t="s">
        <v>177</v>
      </c>
      <c r="Q119" s="236" t="s">
        <v>178</v>
      </c>
      <c r="R119" s="236" t="s">
        <v>180</v>
      </c>
      <c r="S119" s="236" t="s">
        <v>181</v>
      </c>
      <c r="T119" s="237" t="s">
        <v>182</v>
      </c>
    </row>
    <row r="120" spans="12:20" x14ac:dyDescent="0.2">
      <c r="L120" s="262">
        <f>DATE($E$1,3,1)</f>
        <v>41699</v>
      </c>
      <c r="M120" s="234">
        <f>INT((L120-(DATE(YEAR(L120+(MOD(8-WEEKDAY(L120),7)-3)),1,1))-3+
MOD(WEEKDAY(DATE(YEAR(L120+(MOD(8-WEEKDAY(L120),7)-3)),1,1))+1,7))/7)+1</f>
        <v>9</v>
      </c>
      <c r="N120" s="233">
        <f>IF(WEEKDAY(L120,2)=1,L120,)</f>
        <v>0</v>
      </c>
      <c r="O120" s="233">
        <f>IF(WEEKDAY(L120,2)=2,L120,IF(WEEKDAY(L120,2)&lt;2,N120+1,))</f>
        <v>0</v>
      </c>
      <c r="P120" s="233">
        <f>IF(WEEKDAY(L120,2)=3,L120,IF(WEEKDAY(L120,2)&lt;3,O120+1,))</f>
        <v>0</v>
      </c>
      <c r="Q120" s="233">
        <f>IF(WEEKDAY(L120,2)=4,L120,IF(WEEKDAY(L120,2)&lt;4,P120+1,))</f>
        <v>0</v>
      </c>
      <c r="R120" s="233">
        <f>IF(WEEKDAY(L120,2)=5,L120,IF(WEEKDAY(L120,2)&lt;5,Q120+1,))</f>
        <v>0</v>
      </c>
      <c r="S120" s="233">
        <f>IF(WEEKDAY(L120,2)=6,L120,IF(WEEKDAY(L120,2)&lt;6,R120+1,))</f>
        <v>41699</v>
      </c>
      <c r="T120" s="229">
        <f>IF(WEEKDAY(L120,2)=7,L120,S120+1)</f>
        <v>41700</v>
      </c>
    </row>
    <row r="121" spans="12:20" x14ac:dyDescent="0.2">
      <c r="M121" s="234">
        <f>M120+1</f>
        <v>10</v>
      </c>
      <c r="N121" s="232">
        <f>T120+1</f>
        <v>41701</v>
      </c>
      <c r="O121" s="232">
        <f t="shared" ref="O121:T121" si="18">N121+1</f>
        <v>41702</v>
      </c>
      <c r="P121" s="232">
        <f t="shared" si="18"/>
        <v>41703</v>
      </c>
      <c r="Q121" s="232">
        <f t="shared" si="18"/>
        <v>41704</v>
      </c>
      <c r="R121" s="232">
        <f t="shared" si="18"/>
        <v>41705</v>
      </c>
      <c r="S121" s="232">
        <f t="shared" si="18"/>
        <v>41706</v>
      </c>
      <c r="T121" s="228">
        <f t="shared" si="18"/>
        <v>41707</v>
      </c>
    </row>
    <row r="122" spans="12:20" x14ac:dyDescent="0.2">
      <c r="M122" s="234">
        <f>M121+1</f>
        <v>11</v>
      </c>
      <c r="N122" s="232">
        <f>T121+1</f>
        <v>41708</v>
      </c>
      <c r="O122" s="232">
        <f t="shared" ref="O122:T124" si="19">N122+1</f>
        <v>41709</v>
      </c>
      <c r="P122" s="232">
        <f t="shared" si="19"/>
        <v>41710</v>
      </c>
      <c r="Q122" s="232">
        <f t="shared" si="19"/>
        <v>41711</v>
      </c>
      <c r="R122" s="232">
        <f t="shared" si="19"/>
        <v>41712</v>
      </c>
      <c r="S122" s="232">
        <f t="shared" si="19"/>
        <v>41713</v>
      </c>
      <c r="T122" s="228">
        <f t="shared" si="19"/>
        <v>41714</v>
      </c>
    </row>
    <row r="123" spans="12:20" x14ac:dyDescent="0.2">
      <c r="M123" s="234">
        <f>M122+1</f>
        <v>12</v>
      </c>
      <c r="N123" s="232">
        <f>T122+1</f>
        <v>41715</v>
      </c>
      <c r="O123" s="232">
        <f t="shared" si="19"/>
        <v>41716</v>
      </c>
      <c r="P123" s="232">
        <f t="shared" si="19"/>
        <v>41717</v>
      </c>
      <c r="Q123" s="232">
        <f t="shared" si="19"/>
        <v>41718</v>
      </c>
      <c r="R123" s="232">
        <f t="shared" si="19"/>
        <v>41719</v>
      </c>
      <c r="S123" s="232">
        <f>R123+1</f>
        <v>41720</v>
      </c>
      <c r="T123" s="228">
        <f>S123+1</f>
        <v>41721</v>
      </c>
    </row>
    <row r="124" spans="12:20" x14ac:dyDescent="0.2">
      <c r="M124" s="239">
        <f>IF(N124,M123+1,)</f>
        <v>13</v>
      </c>
      <c r="N124" s="232">
        <f>T123+1</f>
        <v>41722</v>
      </c>
      <c r="O124" s="232">
        <f t="shared" si="19"/>
        <v>41723</v>
      </c>
      <c r="P124" s="232">
        <f t="shared" si="19"/>
        <v>41724</v>
      </c>
      <c r="Q124" s="233">
        <f>IF(OR(DAY(P124)=0,DAY(P124)=31),,P124+1)</f>
        <v>41725</v>
      </c>
      <c r="R124" s="233">
        <f>IF(OR(DAY(Q124)=0,DAY(Q124)=31),,Q124+1)</f>
        <v>41726</v>
      </c>
      <c r="S124" s="233">
        <f>IF(OR(DAY(R124)=0,DAY(R124)=31),,R124+1)</f>
        <v>41727</v>
      </c>
      <c r="T124" s="229">
        <f>IF(OR(DAY(S124)=0,DAY(S124)=31),,S124+1)</f>
        <v>41728</v>
      </c>
    </row>
    <row r="125" spans="12:20" x14ac:dyDescent="0.2">
      <c r="M125" s="235">
        <f>IF(N125,M124+1,)</f>
        <v>14</v>
      </c>
      <c r="N125" s="241">
        <f>IF(OR(DAY(T124)=0,DAY(T124)=31),,T124+1)</f>
        <v>41729</v>
      </c>
      <c r="O125" s="241">
        <f>IF(OR(DAY(N125)=0,DAY(N125)=31),,N125+1)</f>
        <v>0</v>
      </c>
      <c r="P125" s="241"/>
      <c r="Q125" s="241"/>
      <c r="R125" s="241"/>
      <c r="S125" s="241"/>
      <c r="T125" s="230"/>
    </row>
    <row r="127" spans="12:20" x14ac:dyDescent="0.2">
      <c r="M127" s="430" t="str">
        <f>"April "&amp;$E$1</f>
        <v>April 2014</v>
      </c>
      <c r="N127" s="431"/>
      <c r="O127" s="431"/>
      <c r="P127" s="431"/>
      <c r="Q127" s="431"/>
      <c r="R127" s="431"/>
      <c r="S127" s="431"/>
      <c r="T127" s="431"/>
    </row>
    <row r="128" spans="12:20" x14ac:dyDescent="0.2">
      <c r="M128" s="238" t="s">
        <v>183</v>
      </c>
      <c r="N128" s="236" t="s">
        <v>176</v>
      </c>
      <c r="O128" s="236" t="s">
        <v>179</v>
      </c>
      <c r="P128" s="236" t="s">
        <v>177</v>
      </c>
      <c r="Q128" s="236" t="s">
        <v>178</v>
      </c>
      <c r="R128" s="236" t="s">
        <v>180</v>
      </c>
      <c r="S128" s="236" t="s">
        <v>181</v>
      </c>
      <c r="T128" s="237" t="s">
        <v>182</v>
      </c>
    </row>
    <row r="129" spans="12:20" x14ac:dyDescent="0.2">
      <c r="L129" s="262">
        <f>DATE($E$1,4,1)</f>
        <v>41730</v>
      </c>
      <c r="M129" s="234">
        <f>INT((L129-(DATE(YEAR(L129+(MOD(8-WEEKDAY(L129),7)-3)),1,1))-3+
MOD(WEEKDAY(DATE(YEAR(L129+(MOD(8-WEEKDAY(L129),7)-3)),1,1))+1,7))/7)+1</f>
        <v>14</v>
      </c>
      <c r="N129" s="233">
        <f>IF(WEEKDAY(L129,2)=1,L129,)</f>
        <v>0</v>
      </c>
      <c r="O129" s="233">
        <f>IF(WEEKDAY(L129,2)=2,L129,IF(WEEKDAY(L129,2)&lt;2,N129+1,))</f>
        <v>41730</v>
      </c>
      <c r="P129" s="233">
        <f>IF(WEEKDAY(L129,2)=3,L129,IF(WEEKDAY(L129,2)&lt;3,O129+1,))</f>
        <v>41731</v>
      </c>
      <c r="Q129" s="233">
        <f>IF(WEEKDAY(L129,2)=4,L129,IF(WEEKDAY(L129,2)&lt;4,P129+1,))</f>
        <v>41732</v>
      </c>
      <c r="R129" s="233">
        <f>IF(WEEKDAY(L129,2)=5,L129,IF(WEEKDAY(L129,2)&lt;5,Q129+1,))</f>
        <v>41733</v>
      </c>
      <c r="S129" s="233">
        <f>IF(WEEKDAY(L129,2)=6,L129,IF(WEEKDAY(L129,2)&lt;6,R129+1,))</f>
        <v>41734</v>
      </c>
      <c r="T129" s="229">
        <f>IF(WEEKDAY(L129,2)=7,L129,S129+1)</f>
        <v>41735</v>
      </c>
    </row>
    <row r="130" spans="12:20" x14ac:dyDescent="0.2">
      <c r="M130" s="234">
        <f>M129+1</f>
        <v>15</v>
      </c>
      <c r="N130" s="232">
        <f>T129+1</f>
        <v>41736</v>
      </c>
      <c r="O130" s="232">
        <f t="shared" ref="O130:T132" si="20">N130+1</f>
        <v>41737</v>
      </c>
      <c r="P130" s="232">
        <f t="shared" si="20"/>
        <v>41738</v>
      </c>
      <c r="Q130" s="232">
        <f t="shared" si="20"/>
        <v>41739</v>
      </c>
      <c r="R130" s="232">
        <f t="shared" si="20"/>
        <v>41740</v>
      </c>
      <c r="S130" s="232">
        <f t="shared" si="20"/>
        <v>41741</v>
      </c>
      <c r="T130" s="228">
        <f t="shared" si="20"/>
        <v>41742</v>
      </c>
    </row>
    <row r="131" spans="12:20" x14ac:dyDescent="0.2">
      <c r="M131" s="234">
        <f>M130+1</f>
        <v>16</v>
      </c>
      <c r="N131" s="232">
        <f>T130+1</f>
        <v>41743</v>
      </c>
      <c r="O131" s="232">
        <f t="shared" si="20"/>
        <v>41744</v>
      </c>
      <c r="P131" s="232">
        <f t="shared" si="20"/>
        <v>41745</v>
      </c>
      <c r="Q131" s="232">
        <f t="shared" si="20"/>
        <v>41746</v>
      </c>
      <c r="R131" s="232">
        <f t="shared" si="20"/>
        <v>41747</v>
      </c>
      <c r="S131" s="232">
        <f t="shared" si="20"/>
        <v>41748</v>
      </c>
      <c r="T131" s="228">
        <f t="shared" si="20"/>
        <v>41749</v>
      </c>
    </row>
    <row r="132" spans="12:20" x14ac:dyDescent="0.2">
      <c r="M132" s="234">
        <f>M131+1</f>
        <v>17</v>
      </c>
      <c r="N132" s="232">
        <f>T131+1</f>
        <v>41750</v>
      </c>
      <c r="O132" s="232">
        <f t="shared" si="20"/>
        <v>41751</v>
      </c>
      <c r="P132" s="232">
        <f t="shared" si="20"/>
        <v>41752</v>
      </c>
      <c r="Q132" s="232">
        <f t="shared" si="20"/>
        <v>41753</v>
      </c>
      <c r="R132" s="232">
        <f t="shared" si="20"/>
        <v>41754</v>
      </c>
      <c r="S132" s="232">
        <f t="shared" si="20"/>
        <v>41755</v>
      </c>
      <c r="T132" s="228">
        <f t="shared" si="20"/>
        <v>41756</v>
      </c>
    </row>
    <row r="133" spans="12:20" x14ac:dyDescent="0.2">
      <c r="M133" s="239">
        <f>IF(N133,M132+1,)</f>
        <v>18</v>
      </c>
      <c r="N133" s="232">
        <f>T132+1</f>
        <v>41757</v>
      </c>
      <c r="O133" s="233">
        <f t="shared" ref="O133:T133" si="21">IF(OR(DAY(N133)=0,DAY(N133)=30),,N133+1)</f>
        <v>41758</v>
      </c>
      <c r="P133" s="233">
        <f t="shared" si="21"/>
        <v>41759</v>
      </c>
      <c r="Q133" s="233">
        <f t="shared" si="21"/>
        <v>0</v>
      </c>
      <c r="R133" s="233">
        <f t="shared" si="21"/>
        <v>0</v>
      </c>
      <c r="S133" s="233">
        <f t="shared" si="21"/>
        <v>0</v>
      </c>
      <c r="T133" s="229">
        <f t="shared" si="21"/>
        <v>0</v>
      </c>
    </row>
    <row r="134" spans="12:20" x14ac:dyDescent="0.2">
      <c r="M134" s="235">
        <f>IF(N134,M133+1,)</f>
        <v>0</v>
      </c>
      <c r="N134" s="241">
        <f>IF(OR(DAY(T133)=0,DAY(T133)=30),,T133+1)</f>
        <v>0</v>
      </c>
      <c r="O134" s="242"/>
      <c r="P134" s="242"/>
      <c r="Q134" s="242"/>
      <c r="R134" s="242"/>
      <c r="S134" s="242"/>
      <c r="T134" s="240"/>
    </row>
    <row r="136" spans="12:20" x14ac:dyDescent="0.2">
      <c r="M136" s="430" t="str">
        <f>"Mai "&amp;$E$1</f>
        <v>Mai 2014</v>
      </c>
      <c r="N136" s="431"/>
      <c r="O136" s="431"/>
      <c r="P136" s="431"/>
      <c r="Q136" s="431"/>
      <c r="R136" s="431"/>
      <c r="S136" s="431"/>
      <c r="T136" s="431"/>
    </row>
    <row r="137" spans="12:20" x14ac:dyDescent="0.2">
      <c r="M137" s="238" t="s">
        <v>183</v>
      </c>
      <c r="N137" s="236" t="s">
        <v>176</v>
      </c>
      <c r="O137" s="236" t="s">
        <v>179</v>
      </c>
      <c r="P137" s="236" t="s">
        <v>177</v>
      </c>
      <c r="Q137" s="236" t="s">
        <v>178</v>
      </c>
      <c r="R137" s="236" t="s">
        <v>180</v>
      </c>
      <c r="S137" s="236" t="s">
        <v>181</v>
      </c>
      <c r="T137" s="237" t="s">
        <v>182</v>
      </c>
    </row>
    <row r="138" spans="12:20" x14ac:dyDescent="0.2">
      <c r="L138" s="262">
        <f>DATE($E$1,5,1)</f>
        <v>41760</v>
      </c>
      <c r="M138" s="234">
        <f>INT((L138-(DATE(YEAR(L138+(MOD(8-WEEKDAY(L138),7)-3)),1,1))-3+
MOD(WEEKDAY(DATE(YEAR(L138+(MOD(8-WEEKDAY(L138),7)-3)),1,1))+1,7))/7)+1</f>
        <v>18</v>
      </c>
      <c r="N138" s="233">
        <f>IF(WEEKDAY(L138,2)=1,L138,)</f>
        <v>0</v>
      </c>
      <c r="O138" s="233">
        <f>IF(WEEKDAY(L138,2)=2,L138,IF(WEEKDAY(L138,2)&lt;2,N138+1,))</f>
        <v>0</v>
      </c>
      <c r="P138" s="233">
        <f>IF(WEEKDAY(L138,2)=3,L138,IF(WEEKDAY(L138,2)&lt;3,O138+1,))</f>
        <v>0</v>
      </c>
      <c r="Q138" s="233">
        <f>IF(WEEKDAY(L138,2)=4,L138,IF(WEEKDAY(L138,2)&lt;4,P138+1,))</f>
        <v>41760</v>
      </c>
      <c r="R138" s="233">
        <f>IF(WEEKDAY(L138,2)=5,L138,IF(WEEKDAY(L138,2)&lt;5,Q138+1,))</f>
        <v>41761</v>
      </c>
      <c r="S138" s="233">
        <f>IF(WEEKDAY(L138,2)=6,L138,IF(WEEKDAY(L138,2)&lt;6,R138+1,))</f>
        <v>41762</v>
      </c>
      <c r="T138" s="229">
        <f>IF(WEEKDAY(L138,2)=7,L138,S138+1)</f>
        <v>41763</v>
      </c>
    </row>
    <row r="139" spans="12:20" x14ac:dyDescent="0.2">
      <c r="M139" s="234">
        <f>M138+1</f>
        <v>19</v>
      </c>
      <c r="N139" s="232">
        <f>T138+1</f>
        <v>41764</v>
      </c>
      <c r="O139" s="232">
        <f t="shared" ref="O139:T139" si="22">N139+1</f>
        <v>41765</v>
      </c>
      <c r="P139" s="232">
        <f t="shared" si="22"/>
        <v>41766</v>
      </c>
      <c r="Q139" s="232">
        <f t="shared" si="22"/>
        <v>41767</v>
      </c>
      <c r="R139" s="232">
        <f t="shared" si="22"/>
        <v>41768</v>
      </c>
      <c r="S139" s="232">
        <f t="shared" si="22"/>
        <v>41769</v>
      </c>
      <c r="T139" s="228">
        <f t="shared" si="22"/>
        <v>41770</v>
      </c>
    </row>
    <row r="140" spans="12:20" x14ac:dyDescent="0.2">
      <c r="M140" s="234">
        <f>M139+1</f>
        <v>20</v>
      </c>
      <c r="N140" s="232">
        <f>T139+1</f>
        <v>41771</v>
      </c>
      <c r="O140" s="232">
        <f t="shared" ref="O140:T140" si="23">N140+1</f>
        <v>41772</v>
      </c>
      <c r="P140" s="232">
        <f t="shared" si="23"/>
        <v>41773</v>
      </c>
      <c r="Q140" s="232">
        <f t="shared" si="23"/>
        <v>41774</v>
      </c>
      <c r="R140" s="232">
        <f t="shared" si="23"/>
        <v>41775</v>
      </c>
      <c r="S140" s="232">
        <f t="shared" si="23"/>
        <v>41776</v>
      </c>
      <c r="T140" s="228">
        <f t="shared" si="23"/>
        <v>41777</v>
      </c>
    </row>
    <row r="141" spans="12:20" x14ac:dyDescent="0.2">
      <c r="M141" s="234">
        <f>M140+1</f>
        <v>21</v>
      </c>
      <c r="N141" s="232">
        <f>T140+1</f>
        <v>41778</v>
      </c>
      <c r="O141" s="232">
        <f t="shared" ref="O141:T141" si="24">N141+1</f>
        <v>41779</v>
      </c>
      <c r="P141" s="232">
        <f t="shared" si="24"/>
        <v>41780</v>
      </c>
      <c r="Q141" s="232">
        <f t="shared" si="24"/>
        <v>41781</v>
      </c>
      <c r="R141" s="232">
        <f t="shared" si="24"/>
        <v>41782</v>
      </c>
      <c r="S141" s="232">
        <f t="shared" si="24"/>
        <v>41783</v>
      </c>
      <c r="T141" s="228">
        <f t="shared" si="24"/>
        <v>41784</v>
      </c>
    </row>
    <row r="142" spans="12:20" x14ac:dyDescent="0.2">
      <c r="M142" s="239">
        <f>IF(N142,M141+1,)</f>
        <v>22</v>
      </c>
      <c r="N142" s="232">
        <f>T141+1</f>
        <v>41785</v>
      </c>
      <c r="O142" s="232">
        <f>N142+1</f>
        <v>41786</v>
      </c>
      <c r="P142" s="233">
        <f>IF(OR(DAY(O142)=0,DAY(O142)=31),,O142+1)</f>
        <v>41787</v>
      </c>
      <c r="Q142" s="233">
        <f>IF(OR(DAY(P142)=0,DAY(P142)=31),,P142+1)</f>
        <v>41788</v>
      </c>
      <c r="R142" s="233">
        <f>IF(OR(DAY(Q142)=0,DAY(Q142)=31),,Q142+1)</f>
        <v>41789</v>
      </c>
      <c r="S142" s="233">
        <f>IF(OR(DAY(R142)=0,DAY(R142)=31),,R142+1)</f>
        <v>41790</v>
      </c>
      <c r="T142" s="229">
        <f>IF(OR(DAY(S142)=0,DAY(S142)=31),,S142+1)</f>
        <v>0</v>
      </c>
    </row>
    <row r="143" spans="12:20" x14ac:dyDescent="0.2">
      <c r="M143" s="235">
        <f>IF(N143,M142+1,)</f>
        <v>0</v>
      </c>
      <c r="N143" s="241">
        <f>IF(OR(DAY(T142)=0,DAY(T142)=31),,T142+1)</f>
        <v>0</v>
      </c>
      <c r="O143" s="241">
        <f>IF(OR(DAY(N143)=0,DAY(N143)=31),,N143+1)</f>
        <v>0</v>
      </c>
      <c r="P143" s="241"/>
      <c r="Q143" s="241"/>
      <c r="R143" s="241"/>
      <c r="S143" s="241"/>
      <c r="T143" s="230"/>
    </row>
    <row r="145" spans="12:20" x14ac:dyDescent="0.2">
      <c r="M145" s="430" t="str">
        <f>"Juni "&amp;$E$1</f>
        <v>Juni 2014</v>
      </c>
      <c r="N145" s="431"/>
      <c r="O145" s="431"/>
      <c r="P145" s="431"/>
      <c r="Q145" s="431"/>
      <c r="R145" s="431"/>
      <c r="S145" s="431"/>
      <c r="T145" s="431"/>
    </row>
    <row r="146" spans="12:20" x14ac:dyDescent="0.2">
      <c r="M146" s="238" t="s">
        <v>183</v>
      </c>
      <c r="N146" s="236" t="s">
        <v>176</v>
      </c>
      <c r="O146" s="236" t="s">
        <v>179</v>
      </c>
      <c r="P146" s="236" t="s">
        <v>177</v>
      </c>
      <c r="Q146" s="236" t="s">
        <v>178</v>
      </c>
      <c r="R146" s="236" t="s">
        <v>180</v>
      </c>
      <c r="S146" s="236" t="s">
        <v>181</v>
      </c>
      <c r="T146" s="237" t="s">
        <v>182</v>
      </c>
    </row>
    <row r="147" spans="12:20" x14ac:dyDescent="0.2">
      <c r="L147" s="262">
        <f>DATE($E$1,6,1)</f>
        <v>41791</v>
      </c>
      <c r="M147" s="234">
        <f>INT((L147-(DATE(YEAR(L147+(MOD(8-WEEKDAY(L147),7)-3)),1,1))-3+
MOD(WEEKDAY(DATE(YEAR(L147+(MOD(8-WEEKDAY(L147),7)-3)),1,1))+1,7))/7)+1</f>
        <v>22</v>
      </c>
      <c r="N147" s="233">
        <f>IF(WEEKDAY(L147,2)=1,L147,)</f>
        <v>0</v>
      </c>
      <c r="O147" s="233">
        <f>IF(WEEKDAY(L147,2)=2,L147,IF(WEEKDAY(L147,2)&lt;2,N147+1,))</f>
        <v>0</v>
      </c>
      <c r="P147" s="233">
        <f>IF(WEEKDAY(L147,2)=3,L147,IF(WEEKDAY(L147,2)&lt;3,O147+1,))</f>
        <v>0</v>
      </c>
      <c r="Q147" s="233">
        <f>IF(WEEKDAY(L147,2)=4,L147,IF(WEEKDAY(L147,2)&lt;4,P147+1,))</f>
        <v>0</v>
      </c>
      <c r="R147" s="233">
        <f>IF(WEEKDAY(L147,2)=5,L147,IF(WEEKDAY(L147,2)&lt;5,Q147+1,))</f>
        <v>0</v>
      </c>
      <c r="S147" s="233">
        <f>IF(WEEKDAY(L147,2)=6,L147,IF(WEEKDAY(L147,2)&lt;6,R147+1,))</f>
        <v>0</v>
      </c>
      <c r="T147" s="229">
        <f>IF(WEEKDAY(L147,2)=7,L147,S147+1)</f>
        <v>41791</v>
      </c>
    </row>
    <row r="148" spans="12:20" x14ac:dyDescent="0.2">
      <c r="M148" s="234">
        <f>M147+1</f>
        <v>23</v>
      </c>
      <c r="N148" s="232">
        <f>T147+1</f>
        <v>41792</v>
      </c>
      <c r="O148" s="232">
        <f t="shared" ref="O148:T148" si="25">N148+1</f>
        <v>41793</v>
      </c>
      <c r="P148" s="232">
        <f t="shared" si="25"/>
        <v>41794</v>
      </c>
      <c r="Q148" s="232">
        <f t="shared" si="25"/>
        <v>41795</v>
      </c>
      <c r="R148" s="232">
        <f t="shared" si="25"/>
        <v>41796</v>
      </c>
      <c r="S148" s="232">
        <f t="shared" si="25"/>
        <v>41797</v>
      </c>
      <c r="T148" s="228">
        <f t="shared" si="25"/>
        <v>41798</v>
      </c>
    </row>
    <row r="149" spans="12:20" x14ac:dyDescent="0.2">
      <c r="M149" s="234">
        <f>M148+1</f>
        <v>24</v>
      </c>
      <c r="N149" s="232">
        <f>T148+1</f>
        <v>41799</v>
      </c>
      <c r="O149" s="232">
        <f t="shared" ref="O149:T149" si="26">N149+1</f>
        <v>41800</v>
      </c>
      <c r="P149" s="232">
        <f t="shared" si="26"/>
        <v>41801</v>
      </c>
      <c r="Q149" s="232">
        <f t="shared" si="26"/>
        <v>41802</v>
      </c>
      <c r="R149" s="232">
        <f t="shared" si="26"/>
        <v>41803</v>
      </c>
      <c r="S149" s="232">
        <f t="shared" si="26"/>
        <v>41804</v>
      </c>
      <c r="T149" s="228">
        <f t="shared" si="26"/>
        <v>41805</v>
      </c>
    </row>
    <row r="150" spans="12:20" x14ac:dyDescent="0.2">
      <c r="M150" s="234">
        <f>M149+1</f>
        <v>25</v>
      </c>
      <c r="N150" s="232">
        <f>T149+1</f>
        <v>41806</v>
      </c>
      <c r="O150" s="232">
        <f t="shared" ref="O150:T150" si="27">N150+1</f>
        <v>41807</v>
      </c>
      <c r="P150" s="232">
        <f t="shared" si="27"/>
        <v>41808</v>
      </c>
      <c r="Q150" s="232">
        <f t="shared" si="27"/>
        <v>41809</v>
      </c>
      <c r="R150" s="232">
        <f t="shared" si="27"/>
        <v>41810</v>
      </c>
      <c r="S150" s="232">
        <f t="shared" si="27"/>
        <v>41811</v>
      </c>
      <c r="T150" s="228">
        <f t="shared" si="27"/>
        <v>41812</v>
      </c>
    </row>
    <row r="151" spans="12:20" x14ac:dyDescent="0.2">
      <c r="M151" s="239">
        <f>IF(N151,M150+1,)</f>
        <v>26</v>
      </c>
      <c r="N151" s="232">
        <f>T150+1</f>
        <v>41813</v>
      </c>
      <c r="O151" s="232">
        <f>N151+1</f>
        <v>41814</v>
      </c>
      <c r="P151" s="233">
        <f>IF(OR(DAY(O151)=0,DAY(O151)=30),,O151+1)</f>
        <v>41815</v>
      </c>
      <c r="Q151" s="233">
        <f>IF(OR(DAY(P151)=0,DAY(P151)=30),,P151+1)</f>
        <v>41816</v>
      </c>
      <c r="R151" s="233">
        <f>IF(OR(DAY(Q151)=0,DAY(Q151)=30),,Q151+1)</f>
        <v>41817</v>
      </c>
      <c r="S151" s="233">
        <f>IF(OR(DAY(R151)=0,DAY(R151)=30),,R151+1)</f>
        <v>41818</v>
      </c>
      <c r="T151" s="229">
        <f>IF(OR(DAY(S151)=0,DAY(S151)=30),,S151+1)</f>
        <v>41819</v>
      </c>
    </row>
    <row r="152" spans="12:20" x14ac:dyDescent="0.2">
      <c r="M152" s="235">
        <f>IF(N152,M151+1,)</f>
        <v>27</v>
      </c>
      <c r="N152" s="241">
        <f>IF(OR(DAY(T151)=0,DAY(T151)=30),,T151+1)</f>
        <v>41820</v>
      </c>
      <c r="O152" s="241">
        <f>IF(OR(DAY(N152)=0,DAY(N152)=30),,N152+1)</f>
        <v>0</v>
      </c>
      <c r="P152" s="241"/>
      <c r="Q152" s="241">
        <f>IF(OR(P152=0,P152=30),,P152+1)</f>
        <v>0</v>
      </c>
      <c r="R152" s="241">
        <f>IF(OR(Q152=0,Q152=30),,Q152+1)</f>
        <v>0</v>
      </c>
      <c r="S152" s="241">
        <f>IF(OR(R152=0,R152=30),,R152+1)</f>
        <v>0</v>
      </c>
      <c r="T152" s="230">
        <f>IF(OR(S152=0,S152=30),,S152+1)</f>
        <v>0</v>
      </c>
    </row>
    <row r="154" spans="12:20" x14ac:dyDescent="0.2">
      <c r="M154" s="430" t="str">
        <f>"Juli "&amp;$E$1</f>
        <v>Juli 2014</v>
      </c>
      <c r="N154" s="431"/>
      <c r="O154" s="431"/>
      <c r="P154" s="431"/>
      <c r="Q154" s="431"/>
      <c r="R154" s="431"/>
      <c r="S154" s="431"/>
      <c r="T154" s="431"/>
    </row>
    <row r="155" spans="12:20" x14ac:dyDescent="0.2">
      <c r="M155" s="238" t="s">
        <v>183</v>
      </c>
      <c r="N155" s="236" t="s">
        <v>176</v>
      </c>
      <c r="O155" s="236" t="s">
        <v>179</v>
      </c>
      <c r="P155" s="236" t="s">
        <v>177</v>
      </c>
      <c r="Q155" s="236" t="s">
        <v>178</v>
      </c>
      <c r="R155" s="236" t="s">
        <v>180</v>
      </c>
      <c r="S155" s="236" t="s">
        <v>181</v>
      </c>
      <c r="T155" s="237" t="s">
        <v>182</v>
      </c>
    </row>
    <row r="156" spans="12:20" x14ac:dyDescent="0.2">
      <c r="L156" s="262">
        <f>DATE($E$1,7,1)</f>
        <v>41821</v>
      </c>
      <c r="M156" s="234">
        <f>INT((L156-(DATE(YEAR(L156+(MOD(8-WEEKDAY(L156),7)-3)),1,1))-3+
MOD(WEEKDAY(DATE(YEAR(L156+(MOD(8-WEEKDAY(L156),7)-3)),1,1))+1,7))/7)+1</f>
        <v>27</v>
      </c>
      <c r="N156" s="233">
        <f>IF(WEEKDAY(L156,2)=1,L156,)</f>
        <v>0</v>
      </c>
      <c r="O156" s="233">
        <f>IF(WEEKDAY(L156,2)=2,L156,IF(WEEKDAY(L156,2)&lt;2,N156+1,))</f>
        <v>41821</v>
      </c>
      <c r="P156" s="233">
        <f>IF(WEEKDAY(L156,2)=3,L156,IF(WEEKDAY(L156,2)&lt;3,O156+1,))</f>
        <v>41822</v>
      </c>
      <c r="Q156" s="233">
        <f>IF(WEEKDAY(L156,2)=4,L156,IF(WEEKDAY(L156,2)&lt;4,P156+1,))</f>
        <v>41823</v>
      </c>
      <c r="R156" s="233">
        <f>IF(WEEKDAY(L156,2)=5,L156,IF(WEEKDAY(L156,2)&lt;5,Q156+1,))</f>
        <v>41824</v>
      </c>
      <c r="S156" s="233">
        <f>IF(WEEKDAY(L156,2)=6,L156,IF(WEEKDAY(L156,2)&lt;6,R156+1,))</f>
        <v>41825</v>
      </c>
      <c r="T156" s="228">
        <f>IF(WEEKDAY(L156,2)=7,L156,S156+1)</f>
        <v>41826</v>
      </c>
    </row>
    <row r="157" spans="12:20" x14ac:dyDescent="0.2">
      <c r="M157" s="234">
        <f>M156+1</f>
        <v>28</v>
      </c>
      <c r="N157" s="232">
        <f>T156+1</f>
        <v>41827</v>
      </c>
      <c r="O157" s="232">
        <f t="shared" ref="O157:T157" si="28">N157+1</f>
        <v>41828</v>
      </c>
      <c r="P157" s="232">
        <f t="shared" si="28"/>
        <v>41829</v>
      </c>
      <c r="Q157" s="232">
        <f t="shared" si="28"/>
        <v>41830</v>
      </c>
      <c r="R157" s="232">
        <f t="shared" si="28"/>
        <v>41831</v>
      </c>
      <c r="S157" s="232">
        <f t="shared" si="28"/>
        <v>41832</v>
      </c>
      <c r="T157" s="228">
        <f t="shared" si="28"/>
        <v>41833</v>
      </c>
    </row>
    <row r="158" spans="12:20" x14ac:dyDescent="0.2">
      <c r="M158" s="234">
        <f>M157+1</f>
        <v>29</v>
      </c>
      <c r="N158" s="232">
        <f>T157+1</f>
        <v>41834</v>
      </c>
      <c r="O158" s="232">
        <f t="shared" ref="O158:T158" si="29">N158+1</f>
        <v>41835</v>
      </c>
      <c r="P158" s="232">
        <f t="shared" si="29"/>
        <v>41836</v>
      </c>
      <c r="Q158" s="232">
        <f t="shared" si="29"/>
        <v>41837</v>
      </c>
      <c r="R158" s="232">
        <f t="shared" si="29"/>
        <v>41838</v>
      </c>
      <c r="S158" s="232">
        <f t="shared" si="29"/>
        <v>41839</v>
      </c>
      <c r="T158" s="228">
        <f t="shared" si="29"/>
        <v>41840</v>
      </c>
    </row>
    <row r="159" spans="12:20" x14ac:dyDescent="0.2">
      <c r="M159" s="234">
        <f>M158+1</f>
        <v>30</v>
      </c>
      <c r="N159" s="232">
        <f>T158+1</f>
        <v>41841</v>
      </c>
      <c r="O159" s="232">
        <f t="shared" ref="O159:T159" si="30">N159+1</f>
        <v>41842</v>
      </c>
      <c r="P159" s="232">
        <f t="shared" si="30"/>
        <v>41843</v>
      </c>
      <c r="Q159" s="232">
        <f t="shared" si="30"/>
        <v>41844</v>
      </c>
      <c r="R159" s="232">
        <f t="shared" si="30"/>
        <v>41845</v>
      </c>
      <c r="S159" s="232">
        <f t="shared" si="30"/>
        <v>41846</v>
      </c>
      <c r="T159" s="228">
        <f t="shared" si="30"/>
        <v>41847</v>
      </c>
    </row>
    <row r="160" spans="12:20" x14ac:dyDescent="0.2">
      <c r="M160" s="239">
        <f>IF(N160,M159+1,)</f>
        <v>31</v>
      </c>
      <c r="N160" s="232">
        <f>T159+1</f>
        <v>41848</v>
      </c>
      <c r="O160" s="232">
        <f>N160+1</f>
        <v>41849</v>
      </c>
      <c r="P160" s="232">
        <f>O160+1</f>
        <v>41850</v>
      </c>
      <c r="Q160" s="233">
        <f>IF(OR(DAY(P160)=0,DAY(P160)=31),,P160+1)</f>
        <v>41851</v>
      </c>
      <c r="R160" s="233">
        <f>IF(OR(DAY(Q160)=0,DAY(Q160)=31),,Q160+1)</f>
        <v>0</v>
      </c>
      <c r="S160" s="233">
        <f>IF(OR(DAY(R160)=0,DAY(R160)=31),,R160+1)</f>
        <v>0</v>
      </c>
      <c r="T160" s="229">
        <f>IF(OR(DAY(S160)=0,DAY(S160)=31),,S160+1)</f>
        <v>0</v>
      </c>
    </row>
    <row r="161" spans="12:20" x14ac:dyDescent="0.2">
      <c r="M161" s="235">
        <f>IF(N161,M160+1,)</f>
        <v>0</v>
      </c>
      <c r="N161" s="241">
        <f>IF(OR(DAY(T160)=0,DAY(T160)=31),,T160+1)</f>
        <v>0</v>
      </c>
      <c r="O161" s="241">
        <f>IF(OR(DAY(N161)=0,DAY(N161)=31),,N161+1)</f>
        <v>0</v>
      </c>
      <c r="P161" s="241"/>
      <c r="Q161" s="241"/>
      <c r="R161" s="241"/>
      <c r="S161" s="241"/>
      <c r="T161" s="230"/>
    </row>
    <row r="163" spans="12:20" x14ac:dyDescent="0.2">
      <c r="M163" s="430" t="str">
        <f>"August "&amp;$E$1</f>
        <v>August 2014</v>
      </c>
      <c r="N163" s="431"/>
      <c r="O163" s="431"/>
      <c r="P163" s="431"/>
      <c r="Q163" s="431"/>
      <c r="R163" s="431"/>
      <c r="S163" s="431"/>
      <c r="T163" s="431"/>
    </row>
    <row r="164" spans="12:20" x14ac:dyDescent="0.2">
      <c r="M164" s="238" t="s">
        <v>183</v>
      </c>
      <c r="N164" s="236" t="s">
        <v>176</v>
      </c>
      <c r="O164" s="236" t="s">
        <v>179</v>
      </c>
      <c r="P164" s="236" t="s">
        <v>177</v>
      </c>
      <c r="Q164" s="236" t="s">
        <v>178</v>
      </c>
      <c r="R164" s="236" t="s">
        <v>180</v>
      </c>
      <c r="S164" s="236" t="s">
        <v>181</v>
      </c>
      <c r="T164" s="237" t="s">
        <v>182</v>
      </c>
    </row>
    <row r="165" spans="12:20" x14ac:dyDescent="0.2">
      <c r="L165" s="262">
        <f>DATE($E$1,8,1)</f>
        <v>41852</v>
      </c>
      <c r="M165" s="234">
        <f>INT((L165-(DATE(YEAR(L165+(MOD(8-WEEKDAY(L165),7)-3)),1,1))-3+
MOD(WEEKDAY(DATE(YEAR(L165+(MOD(8-WEEKDAY(L165),7)-3)),1,1))+1,7))/7)+1</f>
        <v>31</v>
      </c>
      <c r="N165" s="233">
        <f>IF(WEEKDAY(L165,2)=1,L165,)</f>
        <v>0</v>
      </c>
      <c r="O165" s="233">
        <f>IF(WEEKDAY(L165,2)=2,L165,IF(WEEKDAY(L165,2)&lt;2,N165+1,))</f>
        <v>0</v>
      </c>
      <c r="P165" s="233">
        <f>IF(WEEKDAY(L165,2)=3,L165,IF(WEEKDAY(L165,2)&lt;3,O165+1,))</f>
        <v>0</v>
      </c>
      <c r="Q165" s="233">
        <f>IF(WEEKDAY(L165,2)=4,L165,IF(WEEKDAY(L165,2)&lt;4,P165+1,))</f>
        <v>0</v>
      </c>
      <c r="R165" s="233">
        <f>IF(WEEKDAY(L165,2)=5,L165,IF(WEEKDAY(L165,2)&lt;5,Q165+1,))</f>
        <v>41852</v>
      </c>
      <c r="S165" s="233">
        <f>IF(WEEKDAY(L165,2)=6,L165,IF(WEEKDAY(L165,2)&lt;6,R165+1,))</f>
        <v>41853</v>
      </c>
      <c r="T165" s="228">
        <f>IF(WEEKDAY(L165,2)=7,L165,S165+1)</f>
        <v>41854</v>
      </c>
    </row>
    <row r="166" spans="12:20" x14ac:dyDescent="0.2">
      <c r="M166" s="234">
        <f>M165+1</f>
        <v>32</v>
      </c>
      <c r="N166" s="232">
        <f>T165+1</f>
        <v>41855</v>
      </c>
      <c r="O166" s="232">
        <f t="shared" ref="O166:T166" si="31">N166+1</f>
        <v>41856</v>
      </c>
      <c r="P166" s="232">
        <f t="shared" si="31"/>
        <v>41857</v>
      </c>
      <c r="Q166" s="232">
        <f t="shared" si="31"/>
        <v>41858</v>
      </c>
      <c r="R166" s="232">
        <f t="shared" si="31"/>
        <v>41859</v>
      </c>
      <c r="S166" s="232">
        <f t="shared" si="31"/>
        <v>41860</v>
      </c>
      <c r="T166" s="228">
        <f t="shared" si="31"/>
        <v>41861</v>
      </c>
    </row>
    <row r="167" spans="12:20" x14ac:dyDescent="0.2">
      <c r="M167" s="234">
        <f>M166+1</f>
        <v>33</v>
      </c>
      <c r="N167" s="232">
        <f>T166+1</f>
        <v>41862</v>
      </c>
      <c r="O167" s="232">
        <f t="shared" ref="O167:T167" si="32">N167+1</f>
        <v>41863</v>
      </c>
      <c r="P167" s="232">
        <f t="shared" si="32"/>
        <v>41864</v>
      </c>
      <c r="Q167" s="232">
        <f t="shared" si="32"/>
        <v>41865</v>
      </c>
      <c r="R167" s="232">
        <f t="shared" si="32"/>
        <v>41866</v>
      </c>
      <c r="S167" s="232">
        <f t="shared" si="32"/>
        <v>41867</v>
      </c>
      <c r="T167" s="228">
        <f t="shared" si="32"/>
        <v>41868</v>
      </c>
    </row>
    <row r="168" spans="12:20" x14ac:dyDescent="0.2">
      <c r="M168" s="234">
        <f>M167+1</f>
        <v>34</v>
      </c>
      <c r="N168" s="232">
        <f>T167+1</f>
        <v>41869</v>
      </c>
      <c r="O168" s="232">
        <f t="shared" ref="O168:T168" si="33">N168+1</f>
        <v>41870</v>
      </c>
      <c r="P168" s="232">
        <f t="shared" si="33"/>
        <v>41871</v>
      </c>
      <c r="Q168" s="232">
        <f t="shared" si="33"/>
        <v>41872</v>
      </c>
      <c r="R168" s="232">
        <f t="shared" si="33"/>
        <v>41873</v>
      </c>
      <c r="S168" s="232">
        <f t="shared" si="33"/>
        <v>41874</v>
      </c>
      <c r="T168" s="228">
        <f t="shared" si="33"/>
        <v>41875</v>
      </c>
    </row>
    <row r="169" spans="12:20" x14ac:dyDescent="0.2">
      <c r="M169" s="239">
        <f>IF(N169,M168+1,)</f>
        <v>35</v>
      </c>
      <c r="N169" s="232">
        <f>T168+1</f>
        <v>41876</v>
      </c>
      <c r="O169" s="232">
        <f>N169+1</f>
        <v>41877</v>
      </c>
      <c r="P169" s="232">
        <f>O169+1</f>
        <v>41878</v>
      </c>
      <c r="Q169" s="233">
        <f>IF(OR(DAY(P169)=0,DAY(P169)=31),,P169+1)</f>
        <v>41879</v>
      </c>
      <c r="R169" s="233">
        <f>IF(OR(DAY(Q169)=0,DAY(Q169)=31),,Q169+1)</f>
        <v>41880</v>
      </c>
      <c r="S169" s="233">
        <f>IF(OR(DAY(R169)=0,DAY(R169)=31),,R169+1)</f>
        <v>41881</v>
      </c>
      <c r="T169" s="229">
        <f>IF(OR(DAY(S169)=0,DAY(S169)=31),,S169+1)</f>
        <v>41882</v>
      </c>
    </row>
    <row r="170" spans="12:20" x14ac:dyDescent="0.2">
      <c r="M170" s="235">
        <f>IF(N170,M169+1,)</f>
        <v>0</v>
      </c>
      <c r="N170" s="241">
        <f>IF(OR(DAY(T169)=0,DAY(T169)=31),,T169+1)</f>
        <v>0</v>
      </c>
      <c r="O170" s="241">
        <f>IF(OR(DAY(N170)=0,DAY(N170)=31),,N170+1)</f>
        <v>0</v>
      </c>
      <c r="P170" s="241"/>
      <c r="Q170" s="241"/>
      <c r="R170" s="241"/>
      <c r="S170" s="241"/>
      <c r="T170" s="230"/>
    </row>
    <row r="172" spans="12:20" x14ac:dyDescent="0.2">
      <c r="M172" s="430" t="str">
        <f>"September "&amp;$E$1</f>
        <v>September 2014</v>
      </c>
      <c r="N172" s="431"/>
      <c r="O172" s="431"/>
      <c r="P172" s="431"/>
      <c r="Q172" s="431"/>
      <c r="R172" s="431"/>
      <c r="S172" s="431"/>
      <c r="T172" s="431"/>
    </row>
    <row r="173" spans="12:20" x14ac:dyDescent="0.2">
      <c r="M173" s="238" t="s">
        <v>183</v>
      </c>
      <c r="N173" s="236" t="s">
        <v>176</v>
      </c>
      <c r="O173" s="236" t="s">
        <v>179</v>
      </c>
      <c r="P173" s="236" t="s">
        <v>177</v>
      </c>
      <c r="Q173" s="236" t="s">
        <v>178</v>
      </c>
      <c r="R173" s="236" t="s">
        <v>180</v>
      </c>
      <c r="S173" s="236" t="s">
        <v>181</v>
      </c>
      <c r="T173" s="237" t="s">
        <v>182</v>
      </c>
    </row>
    <row r="174" spans="12:20" x14ac:dyDescent="0.2">
      <c r="L174" s="262">
        <f>DATE($E$1,9,1)</f>
        <v>41883</v>
      </c>
      <c r="M174" s="234">
        <f>INT((L174-(DATE(YEAR(L174+(MOD(8-WEEKDAY(L174),7)-3)),1,1))-3+
MOD(WEEKDAY(DATE(YEAR(L174+(MOD(8-WEEKDAY(L174),7)-3)),1,1))+1,7))/7)+1</f>
        <v>36</v>
      </c>
      <c r="N174" s="233">
        <f>IF(WEEKDAY(L174,2)=1,L174,)</f>
        <v>41883</v>
      </c>
      <c r="O174" s="233">
        <f>IF(WEEKDAY(L174,2)=2,L174,IF(WEEKDAY(L174,2)&lt;2,N174+1,))</f>
        <v>41884</v>
      </c>
      <c r="P174" s="233">
        <f>IF(WEEKDAY(L174,2)=3,L174,IF(WEEKDAY(L174,2)&lt;3,O174+1,))</f>
        <v>41885</v>
      </c>
      <c r="Q174" s="233">
        <f>IF(WEEKDAY(L174,2)=4,L174,IF(WEEKDAY(L174,2)&lt;4,P174+1,))</f>
        <v>41886</v>
      </c>
      <c r="R174" s="233">
        <f>IF(WEEKDAY(L174,2)=5,L174,IF(WEEKDAY(L174,2)&lt;5,Q174+1,))</f>
        <v>41887</v>
      </c>
      <c r="S174" s="233">
        <f>IF(WEEKDAY(L174,2)=6,L174,IF(WEEKDAY(L174,2)&lt;6,R174+1,))</f>
        <v>41888</v>
      </c>
      <c r="T174" s="228">
        <f>IF(WEEKDAY(L174,2)=7,L174,S174+1)</f>
        <v>41889</v>
      </c>
    </row>
    <row r="175" spans="12:20" x14ac:dyDescent="0.2">
      <c r="M175" s="234">
        <f>M174+1</f>
        <v>37</v>
      </c>
      <c r="N175" s="232">
        <f>T174+1</f>
        <v>41890</v>
      </c>
      <c r="O175" s="232">
        <f t="shared" ref="O175:T175" si="34">N175+1</f>
        <v>41891</v>
      </c>
      <c r="P175" s="232">
        <f t="shared" si="34"/>
        <v>41892</v>
      </c>
      <c r="Q175" s="232">
        <f t="shared" si="34"/>
        <v>41893</v>
      </c>
      <c r="R175" s="232">
        <f t="shared" si="34"/>
        <v>41894</v>
      </c>
      <c r="S175" s="232">
        <f t="shared" si="34"/>
        <v>41895</v>
      </c>
      <c r="T175" s="228">
        <f t="shared" si="34"/>
        <v>41896</v>
      </c>
    </row>
    <row r="176" spans="12:20" x14ac:dyDescent="0.2">
      <c r="M176" s="234">
        <f>M175+1</f>
        <v>38</v>
      </c>
      <c r="N176" s="232">
        <f>T175+1</f>
        <v>41897</v>
      </c>
      <c r="O176" s="232">
        <f t="shared" ref="O176:T176" si="35">N176+1</f>
        <v>41898</v>
      </c>
      <c r="P176" s="232">
        <f t="shared" si="35"/>
        <v>41899</v>
      </c>
      <c r="Q176" s="232">
        <f t="shared" si="35"/>
        <v>41900</v>
      </c>
      <c r="R176" s="232">
        <f t="shared" si="35"/>
        <v>41901</v>
      </c>
      <c r="S176" s="232">
        <f t="shared" si="35"/>
        <v>41902</v>
      </c>
      <c r="T176" s="228">
        <f t="shared" si="35"/>
        <v>41903</v>
      </c>
    </row>
    <row r="177" spans="12:20" x14ac:dyDescent="0.2">
      <c r="M177" s="234">
        <f>M176+1</f>
        <v>39</v>
      </c>
      <c r="N177" s="232">
        <f>T176+1</f>
        <v>41904</v>
      </c>
      <c r="O177" s="232">
        <f t="shared" ref="O177:T177" si="36">N177+1</f>
        <v>41905</v>
      </c>
      <c r="P177" s="232">
        <f t="shared" si="36"/>
        <v>41906</v>
      </c>
      <c r="Q177" s="232">
        <f t="shared" si="36"/>
        <v>41907</v>
      </c>
      <c r="R177" s="232">
        <f t="shared" si="36"/>
        <v>41908</v>
      </c>
      <c r="S177" s="232">
        <f t="shared" si="36"/>
        <v>41909</v>
      </c>
      <c r="T177" s="228">
        <f t="shared" si="36"/>
        <v>41910</v>
      </c>
    </row>
    <row r="178" spans="12:20" x14ac:dyDescent="0.2">
      <c r="M178" s="239">
        <f>IF(N178,M177+1,)</f>
        <v>40</v>
      </c>
      <c r="N178" s="232">
        <f>T177+1</f>
        <v>41911</v>
      </c>
      <c r="O178" s="232">
        <f>N178+1</f>
        <v>41912</v>
      </c>
      <c r="P178" s="233">
        <f>IF(OR(DAY(O178)=0,DAY(O178)=30),,O178+1)</f>
        <v>0</v>
      </c>
      <c r="Q178" s="233">
        <f>IF(OR(DAY(P178)=0,DAY(P178)=30),,P178+1)</f>
        <v>0</v>
      </c>
      <c r="R178" s="233">
        <f>IF(OR(DAY(Q178)=0,DAY(Q178)=30),,Q178+1)</f>
        <v>0</v>
      </c>
      <c r="S178" s="233">
        <f>IF(OR(DAY(R178)=0,DAY(R178)=30),,R178+1)</f>
        <v>0</v>
      </c>
      <c r="T178" s="229">
        <f>IF(OR(DAY(S178)=0,DAY(S178)=30),,S178+1)</f>
        <v>0</v>
      </c>
    </row>
    <row r="179" spans="12:20" x14ac:dyDescent="0.2">
      <c r="M179" s="235">
        <f>IF(N179,M178+1,)</f>
        <v>0</v>
      </c>
      <c r="N179" s="241">
        <f>IF(OR(DAY(T178)=0,DAY(T178)=30),,T178+1)</f>
        <v>0</v>
      </c>
      <c r="O179" s="241">
        <f>IF(OR(DAY(N179)=0,DAY(N179)=30),,N179+1)</f>
        <v>0</v>
      </c>
      <c r="P179" s="241"/>
      <c r="Q179" s="241"/>
      <c r="R179" s="241"/>
      <c r="S179" s="241"/>
      <c r="T179" s="230"/>
    </row>
    <row r="181" spans="12:20" x14ac:dyDescent="0.2">
      <c r="M181" s="430" t="str">
        <f>"Oktober "&amp;$E$1</f>
        <v>Oktober 2014</v>
      </c>
      <c r="N181" s="431"/>
      <c r="O181" s="431"/>
      <c r="P181" s="431"/>
      <c r="Q181" s="431"/>
      <c r="R181" s="431"/>
      <c r="S181" s="431"/>
      <c r="T181" s="431"/>
    </row>
    <row r="182" spans="12:20" x14ac:dyDescent="0.2">
      <c r="M182" s="238" t="s">
        <v>183</v>
      </c>
      <c r="N182" s="236" t="s">
        <v>176</v>
      </c>
      <c r="O182" s="236" t="s">
        <v>179</v>
      </c>
      <c r="P182" s="236" t="s">
        <v>177</v>
      </c>
      <c r="Q182" s="236" t="s">
        <v>178</v>
      </c>
      <c r="R182" s="236" t="s">
        <v>180</v>
      </c>
      <c r="S182" s="236" t="s">
        <v>181</v>
      </c>
      <c r="T182" s="237" t="s">
        <v>182</v>
      </c>
    </row>
    <row r="183" spans="12:20" x14ac:dyDescent="0.2">
      <c r="L183" s="262">
        <f>DATE($E$1,10,1)</f>
        <v>41913</v>
      </c>
      <c r="M183" s="234">
        <f>INT((L183-(DATE(YEAR(L183+(MOD(8-WEEKDAY(L183),7)-3)),1,1))-3+
MOD(WEEKDAY(DATE(YEAR(L183+(MOD(8-WEEKDAY(L183),7)-3)),1,1))+1,7))/7)+1</f>
        <v>40</v>
      </c>
      <c r="N183" s="233">
        <f>IF(WEEKDAY(L183,2)=1,L183,)</f>
        <v>0</v>
      </c>
      <c r="O183" s="233">
        <f>IF(WEEKDAY(L183,2)=2,L183,IF(WEEKDAY(L183,2)&lt;2,N183+1,))</f>
        <v>0</v>
      </c>
      <c r="P183" s="233">
        <f>IF(WEEKDAY(L183,2)=3,L183,IF(WEEKDAY(L183,2)&lt;3,O183+1,))</f>
        <v>41913</v>
      </c>
      <c r="Q183" s="233">
        <f>IF(WEEKDAY(L183,2)=4,L183,IF(WEEKDAY(L183,2)&lt;4,P183+1,))</f>
        <v>41914</v>
      </c>
      <c r="R183" s="233">
        <f>IF(WEEKDAY(L183,2)=5,L183,IF(WEEKDAY(L183,2)&lt;5,Q183+1,))</f>
        <v>41915</v>
      </c>
      <c r="S183" s="233">
        <f>IF(WEEKDAY(L183,2)=6,L183,IF(WEEKDAY(L183,2)&lt;6,R183+1,))</f>
        <v>41916</v>
      </c>
      <c r="T183" s="228">
        <f>IF(WEEKDAY(L183,2)=7,L183,S183+1)</f>
        <v>41917</v>
      </c>
    </row>
    <row r="184" spans="12:20" x14ac:dyDescent="0.2">
      <c r="M184" s="234">
        <f>M183+1</f>
        <v>41</v>
      </c>
      <c r="N184" s="232">
        <f>T183+1</f>
        <v>41918</v>
      </c>
      <c r="O184" s="232">
        <f t="shared" ref="O184:T184" si="37">N184+1</f>
        <v>41919</v>
      </c>
      <c r="P184" s="232">
        <f t="shared" si="37"/>
        <v>41920</v>
      </c>
      <c r="Q184" s="232">
        <f t="shared" si="37"/>
        <v>41921</v>
      </c>
      <c r="R184" s="232">
        <f t="shared" si="37"/>
        <v>41922</v>
      </c>
      <c r="S184" s="232">
        <f t="shared" si="37"/>
        <v>41923</v>
      </c>
      <c r="T184" s="228">
        <f t="shared" si="37"/>
        <v>41924</v>
      </c>
    </row>
    <row r="185" spans="12:20" x14ac:dyDescent="0.2">
      <c r="M185" s="234">
        <f>M184+1</f>
        <v>42</v>
      </c>
      <c r="N185" s="232">
        <f>T184+1</f>
        <v>41925</v>
      </c>
      <c r="O185" s="232">
        <f t="shared" ref="O185:T185" si="38">N185+1</f>
        <v>41926</v>
      </c>
      <c r="P185" s="232">
        <f t="shared" si="38"/>
        <v>41927</v>
      </c>
      <c r="Q185" s="232">
        <f t="shared" si="38"/>
        <v>41928</v>
      </c>
      <c r="R185" s="232">
        <f t="shared" si="38"/>
        <v>41929</v>
      </c>
      <c r="S185" s="232">
        <f t="shared" si="38"/>
        <v>41930</v>
      </c>
      <c r="T185" s="228">
        <f t="shared" si="38"/>
        <v>41931</v>
      </c>
    </row>
    <row r="186" spans="12:20" x14ac:dyDescent="0.2">
      <c r="M186" s="234">
        <f>M185+1</f>
        <v>43</v>
      </c>
      <c r="N186" s="232">
        <f>T185+1</f>
        <v>41932</v>
      </c>
      <c r="O186" s="232">
        <f t="shared" ref="O186:T186" si="39">N186+1</f>
        <v>41933</v>
      </c>
      <c r="P186" s="232">
        <f t="shared" si="39"/>
        <v>41934</v>
      </c>
      <c r="Q186" s="232">
        <f t="shared" si="39"/>
        <v>41935</v>
      </c>
      <c r="R186" s="232">
        <f t="shared" si="39"/>
        <v>41936</v>
      </c>
      <c r="S186" s="232">
        <f t="shared" si="39"/>
        <v>41937</v>
      </c>
      <c r="T186" s="228">
        <f t="shared" si="39"/>
        <v>41938</v>
      </c>
    </row>
    <row r="187" spans="12:20" x14ac:dyDescent="0.2">
      <c r="M187" s="239">
        <f>IF(N187,M186+1,)</f>
        <v>44</v>
      </c>
      <c r="N187" s="232">
        <f>T186+1</f>
        <v>41939</v>
      </c>
      <c r="O187" s="232">
        <f>N187+1</f>
        <v>41940</v>
      </c>
      <c r="P187" s="232">
        <f>O187+1</f>
        <v>41941</v>
      </c>
      <c r="Q187" s="233">
        <f>IF(OR(DAY(P187)=0,DAY(P187)=31),,P187+1)</f>
        <v>41942</v>
      </c>
      <c r="R187" s="233">
        <f>IF(OR(DAY(Q187)=0,DAY(Q187)=31),,Q187+1)</f>
        <v>41943</v>
      </c>
      <c r="S187" s="233">
        <f>IF(OR(DAY(R187)=0,DAY(R187)=31),,R187+1)</f>
        <v>0</v>
      </c>
      <c r="T187" s="229">
        <f>IF(OR(DAY(S187)=0,DAY(S187)=31),,S187+1)</f>
        <v>0</v>
      </c>
    </row>
    <row r="188" spans="12:20" x14ac:dyDescent="0.2">
      <c r="M188" s="235">
        <f>IF(N188,M187+1,)</f>
        <v>0</v>
      </c>
      <c r="N188" s="241">
        <f>IF(OR(DAY(T187)=0,DAY(T187)=31),,T187+1)</f>
        <v>0</v>
      </c>
      <c r="O188" s="241">
        <f>IF(OR(DAY(N188)=0,DAY(N188)=31),,N188+1)</f>
        <v>0</v>
      </c>
      <c r="P188" s="241"/>
      <c r="Q188" s="241"/>
      <c r="R188" s="241"/>
      <c r="S188" s="241"/>
      <c r="T188" s="230"/>
    </row>
    <row r="190" spans="12:20" x14ac:dyDescent="0.2">
      <c r="M190" s="430" t="str">
        <f>"November "&amp;$E$1</f>
        <v>November 2014</v>
      </c>
      <c r="N190" s="431"/>
      <c r="O190" s="431"/>
      <c r="P190" s="431"/>
      <c r="Q190" s="431"/>
      <c r="R190" s="431"/>
      <c r="S190" s="431"/>
      <c r="T190" s="431"/>
    </row>
    <row r="191" spans="12:20" x14ac:dyDescent="0.2">
      <c r="M191" s="238" t="s">
        <v>183</v>
      </c>
      <c r="N191" s="236" t="s">
        <v>176</v>
      </c>
      <c r="O191" s="236" t="s">
        <v>179</v>
      </c>
      <c r="P191" s="236" t="s">
        <v>177</v>
      </c>
      <c r="Q191" s="236" t="s">
        <v>178</v>
      </c>
      <c r="R191" s="236" t="s">
        <v>180</v>
      </c>
      <c r="S191" s="236" t="s">
        <v>181</v>
      </c>
      <c r="T191" s="237" t="s">
        <v>182</v>
      </c>
    </row>
    <row r="192" spans="12:20" x14ac:dyDescent="0.2">
      <c r="L192" s="262">
        <f>DATE($E$1,11,1)</f>
        <v>41944</v>
      </c>
      <c r="M192" s="234">
        <f>INT((L192-(DATE(YEAR(L192+(MOD(8-WEEKDAY(L192),7)-3)),1,1))-3+
MOD(WEEKDAY(DATE(YEAR(L192+(MOD(8-WEEKDAY(L192),7)-3)),1,1))+1,7))/7)+1</f>
        <v>44</v>
      </c>
      <c r="N192" s="233">
        <f>IF(WEEKDAY(L192,2)=1,L192,)</f>
        <v>0</v>
      </c>
      <c r="O192" s="233">
        <f>IF(WEEKDAY(L192,2)=2,L192,IF(WEEKDAY(L192,2)&lt;2,N192+1,))</f>
        <v>0</v>
      </c>
      <c r="P192" s="233">
        <f>IF(WEEKDAY(L192,2)=3,L192,IF(WEEKDAY(L192,2)&lt;3,O192+1,))</f>
        <v>0</v>
      </c>
      <c r="Q192" s="233">
        <f>IF(WEEKDAY(L192,2)=4,L192,IF(WEEKDAY(L192,2)&lt;4,P192+1,))</f>
        <v>0</v>
      </c>
      <c r="R192" s="233">
        <f>IF(WEEKDAY(L192,2)=5,L192,IF(WEEKDAY(L192,2)&lt;5,Q192+1,))</f>
        <v>0</v>
      </c>
      <c r="S192" s="233">
        <f>IF(WEEKDAY(L192,2)=6,L192,IF(WEEKDAY(L192,2)&lt;6,R192+1,))</f>
        <v>41944</v>
      </c>
      <c r="T192" s="228">
        <f>IF(WEEKDAY(L192,2)=7,L192,S192+1)</f>
        <v>41945</v>
      </c>
    </row>
    <row r="193" spans="12:20" x14ac:dyDescent="0.2">
      <c r="M193" s="234">
        <f>M192+1</f>
        <v>45</v>
      </c>
      <c r="N193" s="232">
        <f>T192+1</f>
        <v>41946</v>
      </c>
      <c r="O193" s="232">
        <f t="shared" ref="O193:T193" si="40">N193+1</f>
        <v>41947</v>
      </c>
      <c r="P193" s="232">
        <f t="shared" si="40"/>
        <v>41948</v>
      </c>
      <c r="Q193" s="232">
        <f t="shared" si="40"/>
        <v>41949</v>
      </c>
      <c r="R193" s="232">
        <f t="shared" si="40"/>
        <v>41950</v>
      </c>
      <c r="S193" s="232">
        <f t="shared" si="40"/>
        <v>41951</v>
      </c>
      <c r="T193" s="228">
        <f t="shared" si="40"/>
        <v>41952</v>
      </c>
    </row>
    <row r="194" spans="12:20" x14ac:dyDescent="0.2">
      <c r="M194" s="234">
        <f>M193+1</f>
        <v>46</v>
      </c>
      <c r="N194" s="232">
        <f>T193+1</f>
        <v>41953</v>
      </c>
      <c r="O194" s="232">
        <f t="shared" ref="O194:T194" si="41">N194+1</f>
        <v>41954</v>
      </c>
      <c r="P194" s="232">
        <f t="shared" si="41"/>
        <v>41955</v>
      </c>
      <c r="Q194" s="232">
        <f t="shared" si="41"/>
        <v>41956</v>
      </c>
      <c r="R194" s="232">
        <f t="shared" si="41"/>
        <v>41957</v>
      </c>
      <c r="S194" s="232">
        <f t="shared" si="41"/>
        <v>41958</v>
      </c>
      <c r="T194" s="228">
        <f t="shared" si="41"/>
        <v>41959</v>
      </c>
    </row>
    <row r="195" spans="12:20" x14ac:dyDescent="0.2">
      <c r="M195" s="234">
        <f>M194+1</f>
        <v>47</v>
      </c>
      <c r="N195" s="232">
        <f>T194+1</f>
        <v>41960</v>
      </c>
      <c r="O195" s="232">
        <f t="shared" ref="O195:T195" si="42">N195+1</f>
        <v>41961</v>
      </c>
      <c r="P195" s="232">
        <f t="shared" si="42"/>
        <v>41962</v>
      </c>
      <c r="Q195" s="232">
        <f t="shared" si="42"/>
        <v>41963</v>
      </c>
      <c r="R195" s="232">
        <f t="shared" si="42"/>
        <v>41964</v>
      </c>
      <c r="S195" s="232">
        <f t="shared" si="42"/>
        <v>41965</v>
      </c>
      <c r="T195" s="228">
        <f t="shared" si="42"/>
        <v>41966</v>
      </c>
    </row>
    <row r="196" spans="12:20" x14ac:dyDescent="0.2">
      <c r="M196" s="239">
        <f>IF(N196,M195+1,)</f>
        <v>48</v>
      </c>
      <c r="N196" s="232">
        <f>T195+1</f>
        <v>41967</v>
      </c>
      <c r="O196" s="232">
        <f>N196+1</f>
        <v>41968</v>
      </c>
      <c r="P196" s="233">
        <f>IF(OR(DAY(O196)=0,DAY(O196)=30),,O196+1)</f>
        <v>41969</v>
      </c>
      <c r="Q196" s="233">
        <f>IF(OR(DAY(P196)=0,DAY(P196)=30),,P196+1)</f>
        <v>41970</v>
      </c>
      <c r="R196" s="233">
        <f>IF(OR(DAY(Q196)=0,DAY(Q196)=30),,Q196+1)</f>
        <v>41971</v>
      </c>
      <c r="S196" s="233">
        <f>IF(OR(DAY(R196)=0,DAY(R196)=30),,R196+1)</f>
        <v>41972</v>
      </c>
      <c r="T196" s="229">
        <f>IF(OR(DAY(S196)=0,DAY(S196)=30),,S196+1)</f>
        <v>41973</v>
      </c>
    </row>
    <row r="197" spans="12:20" x14ac:dyDescent="0.2">
      <c r="M197" s="235">
        <f>IF(N197,M196+1,)</f>
        <v>0</v>
      </c>
      <c r="N197" s="241">
        <f>IF(OR(DAY(T196)=0,DAY(T196)=30),,T196+1)</f>
        <v>0</v>
      </c>
      <c r="O197" s="241">
        <f>IF(OR(DAY(N197)=0,DAY(N197)=30),,N197+1)</f>
        <v>0</v>
      </c>
      <c r="P197" s="241"/>
      <c r="Q197" s="241"/>
      <c r="R197" s="241"/>
      <c r="S197" s="241"/>
      <c r="T197" s="230"/>
    </row>
    <row r="199" spans="12:20" x14ac:dyDescent="0.2">
      <c r="M199" s="430" t="str">
        <f>"Desember "&amp;$E$1</f>
        <v>Desember 2014</v>
      </c>
      <c r="N199" s="431"/>
      <c r="O199" s="431"/>
      <c r="P199" s="431"/>
      <c r="Q199" s="431"/>
      <c r="R199" s="431"/>
      <c r="S199" s="431"/>
      <c r="T199" s="431"/>
    </row>
    <row r="200" spans="12:20" x14ac:dyDescent="0.2">
      <c r="M200" s="238" t="s">
        <v>183</v>
      </c>
      <c r="N200" s="236" t="s">
        <v>176</v>
      </c>
      <c r="O200" s="236" t="s">
        <v>179</v>
      </c>
      <c r="P200" s="236" t="s">
        <v>177</v>
      </c>
      <c r="Q200" s="236" t="s">
        <v>178</v>
      </c>
      <c r="R200" s="236" t="s">
        <v>180</v>
      </c>
      <c r="S200" s="236" t="s">
        <v>181</v>
      </c>
      <c r="T200" s="237" t="s">
        <v>182</v>
      </c>
    </row>
    <row r="201" spans="12:20" x14ac:dyDescent="0.2">
      <c r="L201" s="262">
        <f>DATE($E$1,12,1)</f>
        <v>41974</v>
      </c>
      <c r="M201" s="234">
        <f>INT((L201-(DATE(YEAR(L201+(MOD(8-WEEKDAY(L201),7)-3)),1,1))-3+
MOD(WEEKDAY(DATE(YEAR(L201+(MOD(8-WEEKDAY(L201),7)-3)),1,1))+1,7))/7)+1</f>
        <v>49</v>
      </c>
      <c r="N201" s="233">
        <f>IF(WEEKDAY(L201,2)=1,L201,)</f>
        <v>41974</v>
      </c>
      <c r="O201" s="233">
        <f>IF(WEEKDAY(L201,2)=2,L201,IF(WEEKDAY(L201,2)&lt;2,N201+1,))</f>
        <v>41975</v>
      </c>
      <c r="P201" s="233">
        <f>IF(WEEKDAY(L201,2)=3,L201,IF(WEEKDAY(L201,2)&lt;3,O201+1,))</f>
        <v>41976</v>
      </c>
      <c r="Q201" s="233">
        <f>IF(WEEKDAY(L201,2)=4,L201,IF(WEEKDAY(L201,2)&lt;4,P201+1,))</f>
        <v>41977</v>
      </c>
      <c r="R201" s="233">
        <f>IF(WEEKDAY(L201,2)=5,L201,IF(WEEKDAY(L201,2)&lt;5,Q201+1,))</f>
        <v>41978</v>
      </c>
      <c r="S201" s="233">
        <f>IF(WEEKDAY(L201,2)=6,L201,IF(WEEKDAY(L201,2)&lt;6,R201+1,))</f>
        <v>41979</v>
      </c>
      <c r="T201" s="228">
        <f>IF(WEEKDAY(L201,2)=7,L201,S201+1)</f>
        <v>41980</v>
      </c>
    </row>
    <row r="202" spans="12:20" x14ac:dyDescent="0.2">
      <c r="M202" s="234">
        <f>M201+1</f>
        <v>50</v>
      </c>
      <c r="N202" s="232">
        <f>T201+1</f>
        <v>41981</v>
      </c>
      <c r="O202" s="232">
        <f t="shared" ref="O202:T202" si="43">N202+1</f>
        <v>41982</v>
      </c>
      <c r="P202" s="232">
        <f t="shared" si="43"/>
        <v>41983</v>
      </c>
      <c r="Q202" s="232">
        <f t="shared" si="43"/>
        <v>41984</v>
      </c>
      <c r="R202" s="232">
        <f t="shared" si="43"/>
        <v>41985</v>
      </c>
      <c r="S202" s="232">
        <f t="shared" si="43"/>
        <v>41986</v>
      </c>
      <c r="T202" s="228">
        <f t="shared" si="43"/>
        <v>41987</v>
      </c>
    </row>
    <row r="203" spans="12:20" x14ac:dyDescent="0.2">
      <c r="M203" s="234">
        <f>M202+1</f>
        <v>51</v>
      </c>
      <c r="N203" s="232">
        <f>T202+1</f>
        <v>41988</v>
      </c>
      <c r="O203" s="232">
        <f t="shared" ref="O203:T203" si="44">N203+1</f>
        <v>41989</v>
      </c>
      <c r="P203" s="232">
        <f t="shared" si="44"/>
        <v>41990</v>
      </c>
      <c r="Q203" s="232">
        <f t="shared" si="44"/>
        <v>41991</v>
      </c>
      <c r="R203" s="232">
        <f t="shared" si="44"/>
        <v>41992</v>
      </c>
      <c r="S203" s="232">
        <f t="shared" si="44"/>
        <v>41993</v>
      </c>
      <c r="T203" s="228">
        <f t="shared" si="44"/>
        <v>41994</v>
      </c>
    </row>
    <row r="204" spans="12:20" x14ac:dyDescent="0.2">
      <c r="M204" s="234">
        <f>M203+1</f>
        <v>52</v>
      </c>
      <c r="N204" s="232">
        <f>T203+1</f>
        <v>41995</v>
      </c>
      <c r="O204" s="232">
        <f t="shared" ref="O204:T204" si="45">N204+1</f>
        <v>41996</v>
      </c>
      <c r="P204" s="232">
        <f t="shared" si="45"/>
        <v>41997</v>
      </c>
      <c r="Q204" s="232">
        <f t="shared" si="45"/>
        <v>41998</v>
      </c>
      <c r="R204" s="232">
        <f t="shared" si="45"/>
        <v>41999</v>
      </c>
      <c r="S204" s="232">
        <f t="shared" si="45"/>
        <v>42000</v>
      </c>
      <c r="T204" s="228">
        <f t="shared" si="45"/>
        <v>42001</v>
      </c>
    </row>
    <row r="205" spans="12:20" x14ac:dyDescent="0.2">
      <c r="M205" s="239">
        <f>IF(N205,IF(Q205,M204+1,1),)</f>
        <v>1</v>
      </c>
      <c r="N205" s="232">
        <f>T204+1</f>
        <v>42002</v>
      </c>
      <c r="O205" s="232">
        <f>N205+1</f>
        <v>42003</v>
      </c>
      <c r="P205" s="232">
        <f>O205+1</f>
        <v>42004</v>
      </c>
      <c r="Q205" s="233">
        <f>IF(OR(DAY(P205)=0,DAY(P205)=31),,P205+1)</f>
        <v>0</v>
      </c>
      <c r="R205" s="233">
        <f>IF(OR(DAY(Q205)=0,DAY(Q205)=31),,Q205+1)</f>
        <v>0</v>
      </c>
      <c r="S205" s="233">
        <f>IF(OR(DAY(R205)=0,DAY(R205)=31),,R205+1)</f>
        <v>0</v>
      </c>
      <c r="T205" s="229">
        <f>IF(OR(DAY(S205)=0,DAY(S205)=31),,S205+1)</f>
        <v>0</v>
      </c>
    </row>
    <row r="206" spans="12:20" x14ac:dyDescent="0.2">
      <c r="M206" s="235">
        <f>IF(N206,M205+1,)</f>
        <v>0</v>
      </c>
      <c r="N206" s="241">
        <f>IF(OR(DAY(T206)=0,DAY(T206)=31),,T206+1)</f>
        <v>0</v>
      </c>
      <c r="O206" s="241">
        <f>IF(OR(DAY(N206)=0,DAY(N206)=31),,N206+1)</f>
        <v>0</v>
      </c>
      <c r="P206" s="241">
        <f>IF(OR(DAY(O206)=0,DAY(O206)=31),,O206+1)</f>
        <v>0</v>
      </c>
      <c r="Q206" s="241"/>
      <c r="R206" s="241"/>
      <c r="S206" s="241"/>
      <c r="T206" s="230"/>
    </row>
    <row r="208" spans="12:20" x14ac:dyDescent="0.2">
      <c r="M208" s="430" t="str">
        <f>"Januar "&amp;$E$1+1</f>
        <v>Januar 2015</v>
      </c>
      <c r="N208" s="431"/>
      <c r="O208" s="431"/>
      <c r="P208" s="431"/>
      <c r="Q208" s="431"/>
      <c r="R208" s="431"/>
      <c r="S208" s="431"/>
      <c r="T208" s="431"/>
    </row>
    <row r="209" spans="12:20" x14ac:dyDescent="0.2">
      <c r="M209" s="238" t="s">
        <v>183</v>
      </c>
      <c r="N209" s="236" t="s">
        <v>176</v>
      </c>
      <c r="O209" s="236" t="s">
        <v>179</v>
      </c>
      <c r="P209" s="236" t="s">
        <v>177</v>
      </c>
      <c r="Q209" s="236" t="s">
        <v>178</v>
      </c>
      <c r="R209" s="236" t="s">
        <v>180</v>
      </c>
      <c r="S209" s="236" t="s">
        <v>181</v>
      </c>
      <c r="T209" s="237" t="s">
        <v>182</v>
      </c>
    </row>
    <row r="210" spans="12:20" x14ac:dyDescent="0.2">
      <c r="L210" s="262">
        <f>DATE($E$1+1,1,1)</f>
        <v>42005</v>
      </c>
      <c r="M210" s="234">
        <f>INT((L210-(DATE(YEAR(L210+(MOD(8-WEEKDAY(L210),7)-3)),1,1))-3+
MOD(WEEKDAY(DATE(YEAR(L210+(MOD(8-WEEKDAY(L210),7)-3)),1,1))+1,7))/7)+1</f>
        <v>1</v>
      </c>
      <c r="N210" s="233">
        <f>IF(WEEKDAY(L210,2)=1,L210,)</f>
        <v>0</v>
      </c>
      <c r="O210" s="233">
        <f>IF(WEEKDAY(L210,2)=2,L210,IF(WEEKDAY(L210,2)&lt;2,N210+1,))</f>
        <v>0</v>
      </c>
      <c r="P210" s="233">
        <f>IF(WEEKDAY(L210,2)=3,L210,IF(WEEKDAY(L210,2)&lt;3,O210+1,))</f>
        <v>0</v>
      </c>
      <c r="Q210" s="233">
        <f>IF(WEEKDAY(L210,2)=4,L210,IF(WEEKDAY(L210,2)&lt;4,P210+1,))</f>
        <v>42005</v>
      </c>
      <c r="R210" s="233">
        <f>IF(WEEKDAY(L210,2)=5,L210,IF(WEEKDAY(L210,2)&lt;5,Q210+1,))</f>
        <v>42006</v>
      </c>
      <c r="S210" s="233">
        <f>IF(WEEKDAY(L210,2)=6,L210,IF(WEEKDAY(L210,2)&lt;6,R210+1,))</f>
        <v>42007</v>
      </c>
      <c r="T210" s="228">
        <f>IF(WEEKDAY(L210,2)=7,L210,S210+1)</f>
        <v>42008</v>
      </c>
    </row>
    <row r="211" spans="12:20" x14ac:dyDescent="0.2">
      <c r="L211" s="262">
        <f>DATE($E$1+1,1,8)</f>
        <v>42012</v>
      </c>
      <c r="M211" s="234">
        <f>INT((L211-(DATE(YEAR(L211+(MOD(8-WEEKDAY(L211),7)-3)),1,1))-3+
MOD(WEEKDAY(DATE(YEAR(L211+(MOD(8-WEEKDAY(L211),7)-3)),1,1))+1,7))/7)+1</f>
        <v>2</v>
      </c>
      <c r="N211" s="232">
        <f>T210+1</f>
        <v>42009</v>
      </c>
      <c r="O211" s="232">
        <f t="shared" ref="O211:T211" si="46">N211+1</f>
        <v>42010</v>
      </c>
      <c r="P211" s="232">
        <f t="shared" si="46"/>
        <v>42011</v>
      </c>
      <c r="Q211" s="232">
        <f t="shared" si="46"/>
        <v>42012</v>
      </c>
      <c r="R211" s="232">
        <f t="shared" si="46"/>
        <v>42013</v>
      </c>
      <c r="S211" s="232">
        <f t="shared" si="46"/>
        <v>42014</v>
      </c>
      <c r="T211" s="228">
        <f t="shared" si="46"/>
        <v>42015</v>
      </c>
    </row>
    <row r="212" spans="12:20" x14ac:dyDescent="0.2">
      <c r="M212" s="234">
        <f>M211+1</f>
        <v>3</v>
      </c>
      <c r="N212" s="232">
        <f>T211+1</f>
        <v>42016</v>
      </c>
      <c r="O212" s="232">
        <f t="shared" ref="O212:T212" si="47">N212+1</f>
        <v>42017</v>
      </c>
      <c r="P212" s="232">
        <f t="shared" si="47"/>
        <v>42018</v>
      </c>
      <c r="Q212" s="232">
        <f t="shared" si="47"/>
        <v>42019</v>
      </c>
      <c r="R212" s="232">
        <f t="shared" si="47"/>
        <v>42020</v>
      </c>
      <c r="S212" s="232">
        <f t="shared" si="47"/>
        <v>42021</v>
      </c>
      <c r="T212" s="228">
        <f t="shared" si="47"/>
        <v>42022</v>
      </c>
    </row>
    <row r="213" spans="12:20" x14ac:dyDescent="0.2">
      <c r="M213" s="234">
        <f>M212+1</f>
        <v>4</v>
      </c>
      <c r="N213" s="232">
        <f>T212+1</f>
        <v>42023</v>
      </c>
      <c r="O213" s="232">
        <f t="shared" ref="O213:T213" si="48">N213+1</f>
        <v>42024</v>
      </c>
      <c r="P213" s="232">
        <f t="shared" si="48"/>
        <v>42025</v>
      </c>
      <c r="Q213" s="232">
        <f t="shared" si="48"/>
        <v>42026</v>
      </c>
      <c r="R213" s="232">
        <f t="shared" si="48"/>
        <v>42027</v>
      </c>
      <c r="S213" s="232">
        <f t="shared" si="48"/>
        <v>42028</v>
      </c>
      <c r="T213" s="228">
        <f t="shared" si="48"/>
        <v>42029</v>
      </c>
    </row>
    <row r="214" spans="12:20" x14ac:dyDescent="0.2">
      <c r="M214" s="239">
        <f>IF(N214,M213+1,)</f>
        <v>5</v>
      </c>
      <c r="N214" s="232">
        <f>T213+1</f>
        <v>42030</v>
      </c>
      <c r="O214" s="232">
        <f>N214+1</f>
        <v>42031</v>
      </c>
      <c r="P214" s="232">
        <f>O214+1</f>
        <v>42032</v>
      </c>
      <c r="Q214" s="233">
        <f>IF(OR(DAY(P214)=0,DAY(P214)=31),,P214+1)</f>
        <v>42033</v>
      </c>
      <c r="R214" s="233">
        <f>IF(OR(DAY(Q214)=0,DAY(Q214)=31),,Q214+1)</f>
        <v>42034</v>
      </c>
      <c r="S214" s="233">
        <f>IF(OR(DAY(R214)=0,DAY(R214)=31),,R214+1)</f>
        <v>42035</v>
      </c>
      <c r="T214" s="229">
        <f>IF(OR(DAY(S214)=0,DAY(S214)=31),,S214+1)</f>
        <v>0</v>
      </c>
    </row>
    <row r="215" spans="12:20" x14ac:dyDescent="0.2">
      <c r="M215" s="235">
        <f>IF(N215,M214+1,)</f>
        <v>0</v>
      </c>
      <c r="N215" s="241">
        <f>IF(OR(DAY(T214)=0,DAY(T214)=31),,T214+1)</f>
        <v>0</v>
      </c>
      <c r="O215" s="241">
        <f>IF(OR(DAY(N215)=0,DAY(N215)=31),,N215+1)</f>
        <v>0</v>
      </c>
      <c r="P215" s="241"/>
      <c r="Q215" s="241"/>
      <c r="R215" s="241"/>
      <c r="S215" s="241"/>
      <c r="T215" s="230"/>
    </row>
    <row r="217" spans="12:20" x14ac:dyDescent="0.2">
      <c r="M217" s="430" t="str">
        <f>"Februar "&amp;$E$1+1</f>
        <v>Februar 2015</v>
      </c>
      <c r="N217" s="431"/>
      <c r="O217" s="431"/>
      <c r="P217" s="431"/>
      <c r="Q217" s="431"/>
      <c r="R217" s="431"/>
      <c r="S217" s="431"/>
      <c r="T217" s="431"/>
    </row>
    <row r="218" spans="12:20" x14ac:dyDescent="0.2">
      <c r="M218" s="238" t="s">
        <v>183</v>
      </c>
      <c r="N218" s="236" t="s">
        <v>176</v>
      </c>
      <c r="O218" s="236" t="s">
        <v>179</v>
      </c>
      <c r="P218" s="236" t="s">
        <v>177</v>
      </c>
      <c r="Q218" s="236" t="s">
        <v>178</v>
      </c>
      <c r="R218" s="236" t="s">
        <v>180</v>
      </c>
      <c r="S218" s="236" t="s">
        <v>181</v>
      </c>
      <c r="T218" s="237" t="s">
        <v>182</v>
      </c>
    </row>
    <row r="219" spans="12:20" x14ac:dyDescent="0.2">
      <c r="L219" s="262">
        <f>DATE($E$1+1,2,1)</f>
        <v>42036</v>
      </c>
      <c r="M219" s="234">
        <f>INT((L219-(DATE(YEAR(L219+(MOD(8-WEEKDAY(L219),7)-3)),1,1))-3+
MOD(WEEKDAY(DATE(YEAR(L219+(MOD(8-WEEKDAY(L219),7)-3)),1,1))+1,7))/7)+1</f>
        <v>5</v>
      </c>
      <c r="N219" s="233">
        <f>IF(WEEKDAY(L219,2)=1,L219,)</f>
        <v>0</v>
      </c>
      <c r="O219" s="233">
        <f>IF(WEEKDAY(L219,2)=2,L219,IF(WEEKDAY(L219,2)&lt;2,N219+1,))</f>
        <v>0</v>
      </c>
      <c r="P219" s="233">
        <f>IF(WEEKDAY(L219,2)=3,L219,IF(WEEKDAY(L219,2)&lt;3,O219+1,))</f>
        <v>0</v>
      </c>
      <c r="Q219" s="233">
        <f>IF(WEEKDAY(L219,2)=4,L219,IF(WEEKDAY(L219,2)&lt;4,P219+1,))</f>
        <v>0</v>
      </c>
      <c r="R219" s="233">
        <f>IF(WEEKDAY(L219,2)=5,L219,IF(WEEKDAY(L219,2)&lt;5,Q219+1,))</f>
        <v>0</v>
      </c>
      <c r="S219" s="233">
        <f>IF(WEEKDAY(L219,2)=6,L219,IF(WEEKDAY(L219,2)&lt;6,R219+1,))</f>
        <v>0</v>
      </c>
      <c r="T219" s="228">
        <f>IF(WEEKDAY(L219,2)=7,L219,S219+1)</f>
        <v>42036</v>
      </c>
    </row>
    <row r="220" spans="12:20" x14ac:dyDescent="0.2">
      <c r="L220" s="262">
        <f>DATE($E$1+1,2,8)</f>
        <v>42043</v>
      </c>
      <c r="M220" s="234">
        <f>INT((L220-(DATE(YEAR(L220+(MOD(8-WEEKDAY(L220),7)-3)),1,1))-3+
MOD(WEEKDAY(DATE(YEAR(L220+(MOD(8-WEEKDAY(L220),7)-3)),1,1))+1,7))/7)+1</f>
        <v>6</v>
      </c>
      <c r="N220" s="232">
        <f>T219+1</f>
        <v>42037</v>
      </c>
      <c r="O220" s="232">
        <f t="shared" ref="O220:T220" si="49">N220+1</f>
        <v>42038</v>
      </c>
      <c r="P220" s="232">
        <f t="shared" si="49"/>
        <v>42039</v>
      </c>
      <c r="Q220" s="232">
        <f t="shared" si="49"/>
        <v>42040</v>
      </c>
      <c r="R220" s="232">
        <f t="shared" si="49"/>
        <v>42041</v>
      </c>
      <c r="S220" s="232">
        <f t="shared" si="49"/>
        <v>42042</v>
      </c>
      <c r="T220" s="228">
        <f t="shared" si="49"/>
        <v>42043</v>
      </c>
    </row>
    <row r="221" spans="12:20" x14ac:dyDescent="0.2">
      <c r="M221" s="234">
        <f>M220+1</f>
        <v>7</v>
      </c>
      <c r="N221" s="232">
        <f>T220+1</f>
        <v>42044</v>
      </c>
      <c r="O221" s="232">
        <f t="shared" ref="O221:T221" si="50">N221+1</f>
        <v>42045</v>
      </c>
      <c r="P221" s="232">
        <f t="shared" si="50"/>
        <v>42046</v>
      </c>
      <c r="Q221" s="232">
        <f t="shared" si="50"/>
        <v>42047</v>
      </c>
      <c r="R221" s="232">
        <f t="shared" si="50"/>
        <v>42048</v>
      </c>
      <c r="S221" s="232">
        <f t="shared" si="50"/>
        <v>42049</v>
      </c>
      <c r="T221" s="228">
        <f t="shared" si="50"/>
        <v>42050</v>
      </c>
    </row>
    <row r="222" spans="12:20" x14ac:dyDescent="0.2">
      <c r="M222" s="234">
        <f>M221+1</f>
        <v>8</v>
      </c>
      <c r="N222" s="232">
        <f>T221+1</f>
        <v>42051</v>
      </c>
      <c r="O222" s="232">
        <f t="shared" ref="O222:T222" si="51">N222+1</f>
        <v>42052</v>
      </c>
      <c r="P222" s="232">
        <f t="shared" si="51"/>
        <v>42053</v>
      </c>
      <c r="Q222" s="232">
        <f t="shared" si="51"/>
        <v>42054</v>
      </c>
      <c r="R222" s="232">
        <f t="shared" si="51"/>
        <v>42055</v>
      </c>
      <c r="S222" s="232">
        <f t="shared" si="51"/>
        <v>42056</v>
      </c>
      <c r="T222" s="228">
        <f t="shared" si="51"/>
        <v>42057</v>
      </c>
    </row>
    <row r="223" spans="12:20" x14ac:dyDescent="0.2">
      <c r="M223" s="239">
        <f>IF(N223,M222+1,)</f>
        <v>9</v>
      </c>
      <c r="N223" s="232">
        <f>T222+1</f>
        <v>42058</v>
      </c>
      <c r="O223" s="232">
        <f>N223+1</f>
        <v>42059</v>
      </c>
      <c r="P223" s="232">
        <f>O223+1</f>
        <v>42060</v>
      </c>
      <c r="Q223" s="233">
        <f>IF(OR(DAY(P223)=0,DAY(P223)=31),,P223+1)</f>
        <v>42061</v>
      </c>
      <c r="R223" s="233">
        <f>IF(OR(DAY(Q223)=0,DAY(Q223)=31),,Q223+1)</f>
        <v>42062</v>
      </c>
      <c r="S223" s="233">
        <f>IF(OR(DAY(R223)=0,DAY(R223)=31),,R223+1)</f>
        <v>42063</v>
      </c>
      <c r="T223" s="229">
        <f>IF(OR(DAY(S223)=0,DAY(S223)=31),,S223+1)</f>
        <v>42064</v>
      </c>
    </row>
    <row r="224" spans="12:20" x14ac:dyDescent="0.2">
      <c r="M224" s="235">
        <f>IF(N224,M223+1,)</f>
        <v>10</v>
      </c>
      <c r="N224" s="241">
        <f>IF(OR(DAY(T223)=0,DAY(T223)=31),,T223+1)</f>
        <v>42065</v>
      </c>
      <c r="O224" s="241">
        <f>IF(OR(DAY(N224)=0,DAY(N224)=31),,N224+1)</f>
        <v>42066</v>
      </c>
      <c r="P224" s="241"/>
      <c r="Q224" s="241"/>
      <c r="R224" s="241"/>
      <c r="S224" s="241"/>
      <c r="T224" s="230"/>
    </row>
  </sheetData>
  <sheetProtection selectLockedCells="1"/>
  <mergeCells count="29">
    <mergeCell ref="M217:T217"/>
    <mergeCell ref="B19:G19"/>
    <mergeCell ref="B18:G18"/>
    <mergeCell ref="B27:G27"/>
    <mergeCell ref="A44:B44"/>
    <mergeCell ref="M91:T91"/>
    <mergeCell ref="M100:T100"/>
    <mergeCell ref="C40:E40"/>
    <mergeCell ref="M208:T208"/>
    <mergeCell ref="M163:T163"/>
    <mergeCell ref="M172:T172"/>
    <mergeCell ref="M181:T181"/>
    <mergeCell ref="M190:T190"/>
    <mergeCell ref="M136:T136"/>
    <mergeCell ref="M145:T145"/>
    <mergeCell ref="M127:T127"/>
    <mergeCell ref="M154:T154"/>
    <mergeCell ref="M199:T199"/>
    <mergeCell ref="D1:D2"/>
    <mergeCell ref="E1:E2"/>
    <mergeCell ref="B1:C2"/>
    <mergeCell ref="A9:F9"/>
    <mergeCell ref="H3:I3"/>
    <mergeCell ref="E3:F3"/>
    <mergeCell ref="A15:G15"/>
    <mergeCell ref="M109:T109"/>
    <mergeCell ref="M118:T118"/>
    <mergeCell ref="B16:G16"/>
    <mergeCell ref="B17:G17"/>
  </mergeCells>
  <phoneticPr fontId="10" type="noConversion"/>
  <conditionalFormatting sqref="Q102">
    <cfRule type="cellIs" dxfId="385" priority="3" stopIfTrue="1" operator="equal">
      <formula>L102</formula>
    </cfRule>
    <cfRule type="cellIs" dxfId="384" priority="4" stopIfTrue="1" operator="equal">
      <formula>TODAY()</formula>
    </cfRule>
  </conditionalFormatting>
  <conditionalFormatting sqref="N102">
    <cfRule type="cellIs" dxfId="383" priority="5" stopIfTrue="1" operator="equal">
      <formula>L102</formula>
    </cfRule>
    <cfRule type="cellIs" dxfId="382" priority="6" stopIfTrue="1" operator="equal">
      <formula>TODAY()</formula>
    </cfRule>
  </conditionalFormatting>
  <conditionalFormatting sqref="O102">
    <cfRule type="cellIs" dxfId="381" priority="7" stopIfTrue="1" operator="equal">
      <formula>L102</formula>
    </cfRule>
    <cfRule type="cellIs" dxfId="380" priority="8" stopIfTrue="1" operator="equal">
      <formula>TODAY()</formula>
    </cfRule>
  </conditionalFormatting>
  <conditionalFormatting sqref="P102">
    <cfRule type="cellIs" dxfId="379" priority="9" stopIfTrue="1" operator="equal">
      <formula>L102</formula>
    </cfRule>
    <cfRule type="cellIs" dxfId="378" priority="10" stopIfTrue="1" operator="equal">
      <formula>TODAY()</formula>
    </cfRule>
  </conditionalFormatting>
  <conditionalFormatting sqref="R102">
    <cfRule type="cellIs" dxfId="377" priority="11" stopIfTrue="1" operator="equal">
      <formula>L102</formula>
    </cfRule>
    <cfRule type="cellIs" dxfId="376" priority="12" stopIfTrue="1" operator="equal">
      <formula>TODAY()</formula>
    </cfRule>
  </conditionalFormatting>
  <conditionalFormatting sqref="S102">
    <cfRule type="cellIs" dxfId="375" priority="13" stopIfTrue="1" operator="equal">
      <formula>L102</formula>
    </cfRule>
    <cfRule type="cellIs" dxfId="374" priority="14" stopIfTrue="1" operator="equal">
      <formula>TODAY()</formula>
    </cfRule>
  </conditionalFormatting>
  <conditionalFormatting sqref="N138">
    <cfRule type="cellIs" dxfId="373" priority="15" stopIfTrue="1" operator="equal">
      <formula>TODAY()</formula>
    </cfRule>
    <cfRule type="expression" dxfId="372" priority="16" stopIfTrue="1">
      <formula>OR(L138,VLOOKUP(N138,$AO$7:$AO$17,1)=N138)</formula>
    </cfRule>
  </conditionalFormatting>
  <conditionalFormatting sqref="O138">
    <cfRule type="cellIs" dxfId="371" priority="17" stopIfTrue="1" operator="equal">
      <formula>TODAY()</formula>
    </cfRule>
    <cfRule type="cellIs" dxfId="370" priority="18" stopIfTrue="1" operator="equal">
      <formula>L138</formula>
    </cfRule>
  </conditionalFormatting>
  <conditionalFormatting sqref="P138">
    <cfRule type="cellIs" dxfId="369" priority="19" stopIfTrue="1" operator="equal">
      <formula>TODAY()</formula>
    </cfRule>
    <cfRule type="cellIs" dxfId="368" priority="20" stopIfTrue="1" operator="equal">
      <formula>L138</formula>
    </cfRule>
  </conditionalFormatting>
  <conditionalFormatting sqref="R138">
    <cfRule type="cellIs" dxfId="367" priority="21" stopIfTrue="1" operator="equal">
      <formula>TODAY()</formula>
    </cfRule>
    <cfRule type="cellIs" dxfId="366" priority="22" stopIfTrue="1" operator="equal">
      <formula>L138</formula>
    </cfRule>
  </conditionalFormatting>
  <conditionalFormatting sqref="S138">
    <cfRule type="cellIs" dxfId="365" priority="23" stopIfTrue="1" operator="equal">
      <formula>TODAY()</formula>
    </cfRule>
    <cfRule type="cellIs" dxfId="364" priority="24" stopIfTrue="1" operator="equal">
      <formula>L138</formula>
    </cfRule>
  </conditionalFormatting>
  <conditionalFormatting sqref="N115">
    <cfRule type="cellIs" dxfId="363" priority="25" stopIfTrue="1" operator="equal">
      <formula>TODAY()</formula>
    </cfRule>
    <cfRule type="expression" dxfId="362" priority="26" stopIfTrue="1">
      <formula>DAY(T114)&gt;DAY(N115)</formula>
    </cfRule>
  </conditionalFormatting>
  <conditionalFormatting sqref="O115:T115">
    <cfRule type="cellIs" dxfId="361" priority="27" stopIfTrue="1" operator="equal">
      <formula>TODAY()</formula>
    </cfRule>
    <cfRule type="expression" dxfId="360" priority="28" stopIfTrue="1">
      <formula>DAY(O114)&gt;DAY(O115)</formula>
    </cfRule>
  </conditionalFormatting>
  <conditionalFormatting sqref="M115">
    <cfRule type="expression" dxfId="359" priority="29" stopIfTrue="1">
      <formula>DAY(T114)&gt;DAY(N115)</formula>
    </cfRule>
  </conditionalFormatting>
  <conditionalFormatting sqref="Q138">
    <cfRule type="cellIs" dxfId="358" priority="30" stopIfTrue="1" operator="equal">
      <formula>TODAY()</formula>
    </cfRule>
    <cfRule type="expression" dxfId="357" priority="31" stopIfTrue="1">
      <formula>OR(Q138=L138,VLOOKUP(Q138,$AO$7:$AO$17,1)=Q138)</formula>
    </cfRule>
  </conditionalFormatting>
  <conditionalFormatting sqref="AD58:AD71 AE41:AK71">
    <cfRule type="cellIs" dxfId="356" priority="1" stopIfTrue="1" operator="notEqual">
      <formula>$C$42</formula>
    </cfRule>
  </conditionalFormatting>
  <conditionalFormatting sqref="AO19:AO30">
    <cfRule type="expression" dxfId="355" priority="2" stopIfTrue="1">
      <formula>YEAR(AO19)=1900</formula>
    </cfRule>
  </conditionalFormatting>
  <conditionalFormatting sqref="Q143 O129:P134 N157:T161 N184:T188 N206:T206 N211:T215 P197:T197 T204:T205 O120:P125 O142:O143 N93:S95 P139 O139:O140 P141:P143 R141:T143 N103:T107 N116:T116 T138:T139 R139:S139 N143 N202:T203 N204:P204 N166:T170 N111:T114 R205:S205 R196:T196 N193:O197 P193:T195 N175:T177 P179:T179 R178:T178 N178:O179 N220:T224">
    <cfRule type="cellIs" dxfId="354" priority="34" stopIfTrue="1" operator="equal">
      <formula>TODAY()</formula>
    </cfRule>
  </conditionalFormatting>
  <conditionalFormatting sqref="N147:T152 Q120:T125 N120:N125 N129:N134 Q129:T134">
    <cfRule type="expression" dxfId="353" priority="35" stopIfTrue="1">
      <formula>VLOOKUP(N120,$AO$7:$AO$17,1)=N120</formula>
    </cfRule>
    <cfRule type="cellIs" dxfId="352" priority="36" stopIfTrue="1" operator="equal">
      <formula>TODAY()</formula>
    </cfRule>
  </conditionalFormatting>
  <conditionalFormatting sqref="N210:T210 T102 N219:T219">
    <cfRule type="cellIs" dxfId="351" priority="37" stopIfTrue="1" operator="equal">
      <formula>1</formula>
    </cfRule>
    <cfRule type="cellIs" dxfId="350" priority="38" stopIfTrue="1" operator="equal">
      <formula>TODAY()</formula>
    </cfRule>
  </conditionalFormatting>
  <conditionalFormatting sqref="N96:O96 N201:T201 R88:S89 R97:S98 N98:Q98 N89:Q89 N84:O87 T84:T89 P84:S86 T93:T98 N192:T192 N183:T183 N174:T174 N165:T165 N156:T156">
    <cfRule type="cellIs" dxfId="349" priority="39" stopIfTrue="1" operator="between">
      <formula>24</formula>
      <formula>25</formula>
    </cfRule>
    <cfRule type="cellIs" dxfId="348" priority="40" stopIfTrue="1" operator="equal">
      <formula>TODAY()</formula>
    </cfRule>
  </conditionalFormatting>
  <conditionalFormatting sqref="Q139 N139:N140 N142 Q141:Q142">
    <cfRule type="cellIs" dxfId="347" priority="41" stopIfTrue="1" operator="equal">
      <formula>TODAY()</formula>
    </cfRule>
    <cfRule type="expression" dxfId="346" priority="42" stopIfTrue="1">
      <formula>VLOOKUP(N139,$AO$7:$AO$17,1)=N139</formula>
    </cfRule>
  </conditionalFormatting>
  <conditionalFormatting sqref="T140">
    <cfRule type="cellIs" dxfId="345" priority="43" stopIfTrue="1" operator="equal">
      <formula>TODAY()</formula>
    </cfRule>
    <cfRule type="expression" dxfId="344" priority="44" stopIfTrue="1">
      <formula>WEEKDAY(DATE($E$1,5,17),2)=7</formula>
    </cfRule>
  </conditionalFormatting>
  <conditionalFormatting sqref="N97 N88 P87:S87 P96:S96 Q204:S204 N205:Q205 P196:Q196 P178:Q178">
    <cfRule type="expression" dxfId="343" priority="45" stopIfTrue="1">
      <formula>OR(DAY(N87)=25,DAY(N87)=26)</formula>
    </cfRule>
    <cfRule type="cellIs" dxfId="342" priority="46" stopIfTrue="1" operator="equal">
      <formula>TODAY()</formula>
    </cfRule>
  </conditionalFormatting>
  <conditionalFormatting sqref="O97:P97 O88:P88">
    <cfRule type="expression" dxfId="341" priority="47" stopIfTrue="1">
      <formula>OR(DAY(O88)=25,DAY(97)=26)</formula>
    </cfRule>
    <cfRule type="cellIs" dxfId="340" priority="48" stopIfTrue="1" operator="equal">
      <formula>TODAY()</formula>
    </cfRule>
  </conditionalFormatting>
  <conditionalFormatting sqref="Q97 Q88">
    <cfRule type="expression" dxfId="339" priority="49" stopIfTrue="1">
      <formula>OR(DAY(Q88)=25,DAY(Q88)=24)</formula>
    </cfRule>
    <cfRule type="cellIs" dxfId="338" priority="50" stopIfTrue="1" operator="equal">
      <formula>TODAY()</formula>
    </cfRule>
  </conditionalFormatting>
  <conditionalFormatting sqref="O141 R140:S140 P140">
    <cfRule type="cellIs" dxfId="337" priority="51" stopIfTrue="1" operator="equal">
      <formula>TODAY()</formula>
    </cfRule>
    <cfRule type="cellIs" dxfId="336" priority="52" stopIfTrue="1" operator="equal">
      <formula>DATE($E$1,5,17)</formula>
    </cfRule>
  </conditionalFormatting>
  <conditionalFormatting sqref="N141 Q140">
    <cfRule type="cellIs" dxfId="335" priority="53" stopIfTrue="1" operator="equal">
      <formula>TODAY()</formula>
    </cfRule>
    <cfRule type="expression" dxfId="334" priority="54" stopIfTrue="1">
      <formula>OR(VLOOKUP(N140,$AO$7:$AO$17,1)=N140,DATE($E$1,5,17)=N140)</formula>
    </cfRule>
  </conditionalFormatting>
  <conditionalFormatting sqref="A11 C11:F11">
    <cfRule type="expression" dxfId="333" priority="55" stopIfTrue="1">
      <formula>$C$47="Nei"</formula>
    </cfRule>
  </conditionalFormatting>
  <conditionalFormatting sqref="A13:F13">
    <cfRule type="expression" dxfId="332" priority="56" stopIfTrue="1">
      <formula>$C$42=$C$45</formula>
    </cfRule>
  </conditionalFormatting>
  <conditionalFormatting sqref="C43">
    <cfRule type="expression" dxfId="331" priority="57" stopIfTrue="1">
      <formula>$C$47="Nei"</formula>
    </cfRule>
  </conditionalFormatting>
  <dataValidations count="1">
    <dataValidation type="whole" allowBlank="1" showInputMessage="1" showErrorMessage="1" errorTitle="Feil årstall" error="Dette er ikke et gyldig årstall !" sqref="E1:E2">
      <formula1>1900</formula1>
      <formula2>2299</formula2>
    </dataValidation>
  </dataValidations>
  <pageMargins left="0.75" right="0.75" top="1" bottom="1" header="0.5" footer="0.5"/>
  <pageSetup paperSize="9" orientation="landscape" horizontalDpi="1200" verticalDpi="1200" r:id="rId1"/>
  <headerFooter alignWithMargins="0"/>
  <ignoredErrors>
    <ignoredError sqref="AF37 AD14 AF14 AG13 AH10 AH26 AI25 AG29 AF23:AG23 AB27:AC27 AH35 AM19 AM12 O103 P142" formula="1"/>
  </ignoredError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0" enableFormatConditionsCalculation="0">
    <tabColor indexed="57"/>
  </sheetPr>
  <dimension ref="A1:Z55"/>
  <sheetViews>
    <sheetView showGridLines="0" workbookViewId="0">
      <pane ySplit="6" topLeftCell="A7" activePane="bottomLeft" state="frozenSplit"/>
      <selection pane="bottomLeft" activeCell="C7" sqref="C7"/>
    </sheetView>
  </sheetViews>
  <sheetFormatPr baseColWidth="10" defaultColWidth="9.140625" defaultRowHeight="12.75" x14ac:dyDescent="0.2"/>
  <cols>
    <col min="1" max="1" width="2.7109375" style="149" customWidth="1"/>
    <col min="2" max="2" width="7.5703125" customWidth="1"/>
    <col min="3" max="5" width="9.140625" customWidth="1"/>
    <col min="6" max="6" width="8.5703125" customWidth="1"/>
    <col min="7" max="7" width="7.140625" style="41" customWidth="1"/>
    <col min="8" max="8" width="5" style="8" customWidth="1"/>
    <col min="9" max="9" width="3.42578125" style="8" customWidth="1"/>
    <col min="10" max="10" width="31.42578125" style="10" customWidth="1"/>
    <col min="11" max="12" width="4.7109375" customWidth="1"/>
    <col min="13" max="13" width="1.85546875" style="92" customWidth="1"/>
    <col min="14" max="14" width="20.28515625" customWidth="1"/>
    <col min="15" max="15" width="2.140625" customWidth="1"/>
    <col min="16" max="16" width="8.85546875" style="244" customWidth="1"/>
    <col min="17" max="26" width="9.140625" style="244"/>
  </cols>
  <sheetData>
    <row r="1" spans="1:26" s="92" customFormat="1" x14ac:dyDescent="0.2">
      <c r="A1" s="133"/>
      <c r="G1" s="347"/>
      <c r="H1" s="348"/>
      <c r="I1" s="348"/>
      <c r="J1" s="349">
        <f>Info!$E$1</f>
        <v>2014</v>
      </c>
    </row>
    <row r="2" spans="1:26" s="92" customFormat="1" ht="23.25" x14ac:dyDescent="0.35">
      <c r="A2" s="350"/>
      <c r="B2" s="387"/>
      <c r="C2" s="387"/>
      <c r="D2" s="388"/>
      <c r="E2" s="388"/>
      <c r="F2" s="389" t="str">
        <f>Info!C41</f>
        <v>Fleksitid</v>
      </c>
      <c r="G2" s="390"/>
      <c r="H2" s="387"/>
      <c r="I2" s="387"/>
      <c r="J2" s="391" t="s">
        <v>17</v>
      </c>
      <c r="N2" s="325"/>
    </row>
    <row r="3" spans="1:26" s="92" customFormat="1" ht="17.25" customHeight="1" x14ac:dyDescent="0.2">
      <c r="A3" s="133"/>
      <c r="B3" s="356"/>
      <c r="C3" s="357"/>
      <c r="D3" s="358"/>
      <c r="E3" s="359"/>
      <c r="F3" s="360">
        <f>Info!$C$5</f>
        <v>0</v>
      </c>
      <c r="G3" s="361"/>
      <c r="H3" s="362"/>
      <c r="I3" s="362"/>
      <c r="J3" s="314"/>
      <c r="N3" s="325"/>
    </row>
    <row r="4" spans="1:26" s="92" customFormat="1" ht="15" customHeight="1" thickBot="1" x14ac:dyDescent="0.25">
      <c r="A4" s="133"/>
      <c r="B4" s="363"/>
      <c r="C4" s="364"/>
      <c r="D4" s="365"/>
      <c r="E4" s="366"/>
      <c r="F4" s="367">
        <f>Info!$C$6</f>
        <v>0</v>
      </c>
      <c r="G4" s="368"/>
      <c r="H4" s="366"/>
      <c r="I4" s="366"/>
      <c r="J4" s="365"/>
      <c r="N4" s="325"/>
    </row>
    <row r="5" spans="1:26" x14ac:dyDescent="0.2">
      <c r="B5" s="3"/>
      <c r="C5" s="4" t="s">
        <v>0</v>
      </c>
      <c r="D5" s="4"/>
      <c r="E5" s="4" t="s">
        <v>1</v>
      </c>
      <c r="F5" s="4"/>
      <c r="G5" s="42"/>
      <c r="H5" s="468" t="s">
        <v>208</v>
      </c>
      <c r="I5" s="469"/>
      <c r="J5" s="9" t="s">
        <v>6</v>
      </c>
      <c r="K5" s="462" t="s">
        <v>216</v>
      </c>
      <c r="L5" s="463"/>
      <c r="M5" s="326"/>
      <c r="N5" s="11"/>
    </row>
    <row r="6" spans="1:26" ht="13.5" thickBot="1" x14ac:dyDescent="0.25">
      <c r="B6" s="5" t="s">
        <v>2</v>
      </c>
      <c r="C6" s="6" t="s">
        <v>3</v>
      </c>
      <c r="D6" s="6" t="s">
        <v>4</v>
      </c>
      <c r="E6" s="6" t="s">
        <v>3</v>
      </c>
      <c r="F6" s="6" t="s">
        <v>4</v>
      </c>
      <c r="G6" s="188" t="s">
        <v>139</v>
      </c>
      <c r="H6" s="6" t="s">
        <v>4</v>
      </c>
      <c r="I6" s="308" t="s">
        <v>207</v>
      </c>
      <c r="J6" s="172" t="str">
        <f>"Fleksi"&amp;IF(E43&lt;Info!D10,"tid: "&amp;IF(E43&lt;0,"-","")&amp;ABS(F43)&amp;":"&amp;ABS(ROUND(G43,)),"dager: "&amp;ROUND(H$43,1)&amp;IF(Info!C47="Ja"," ("&amp;ROUND(H$44,1)&amp;")",""))&amp;"   Ferie: "&amp;E$47</f>
        <v>Fleksitid: 0:0   Ferie: 0</v>
      </c>
      <c r="K6" s="320" t="s">
        <v>4</v>
      </c>
      <c r="L6" s="322" t="s">
        <v>215</v>
      </c>
      <c r="M6" s="133"/>
      <c r="N6" s="11"/>
    </row>
    <row r="7" spans="1:26" s="11" customFormat="1" x14ac:dyDescent="0.2">
      <c r="A7" s="148">
        <f>IF(WEEKDAY(B7,2)&lt;6,INT((B7-(DATE(YEAR(B7+(MOD(8-WEEKDAY(B7),7)-3)),1,1))-3+
MOD(WEEKDAY(DATE(YEAR(B7+(MOD(8-WEEKDAY(B7),7)-3)),1,1))+1,7))/7)+1,"")</f>
        <v>31</v>
      </c>
      <c r="B7" s="68">
        <f>DATE(Info!$E$1,8,1)</f>
        <v>41852</v>
      </c>
      <c r="C7" s="59"/>
      <c r="D7" s="59"/>
      <c r="E7" s="59"/>
      <c r="F7" s="59"/>
      <c r="G7" s="44">
        <f>IF(AND(WEEKDAY(B7,2)&gt;5,$C7=""),"",IF(E7&gt;0,(E7*60+F7)-(C7*60+D7)-H7+TRUNC(Info!$D$10*(I7/100)),IF(MID(C7,1,2)="Fl",0,Info!AI41))-Info!AI41)</f>
        <v>0</v>
      </c>
      <c r="H7" s="185">
        <f>IF(AND(Info!$C$46&gt;0,$E7&gt;$C7),Info!$C$46,)</f>
        <v>0</v>
      </c>
      <c r="I7" s="185"/>
      <c r="J7" s="175" t="str">
        <f>Info!AI7</f>
        <v/>
      </c>
      <c r="K7" s="323"/>
      <c r="L7" s="338"/>
      <c r="M7" s="327"/>
      <c r="P7" s="243"/>
      <c r="Q7" s="243"/>
      <c r="R7" s="243"/>
      <c r="S7" s="243"/>
      <c r="T7" s="243"/>
      <c r="U7" s="243"/>
      <c r="V7" s="243"/>
      <c r="W7" s="243"/>
      <c r="X7" s="243"/>
      <c r="Y7" s="243"/>
      <c r="Z7" s="243"/>
    </row>
    <row r="8" spans="1:26" s="11" customFormat="1" x14ac:dyDescent="0.2">
      <c r="A8" s="148" t="str">
        <f t="shared" ref="A8:A37" si="0">IF(WEEKDAY(B8,2)=1,INT((B8-(DATE(YEAR(B8+(MOD(8-WEEKDAY(B8),7)-3)),1,1))-3+
MOD(WEEKDAY(DATE(YEAR(B8+(MOD(8-WEEKDAY(B8),7)-3)),1,1))+1,7))/7)+1,"")</f>
        <v/>
      </c>
      <c r="B8" s="68">
        <f t="shared" ref="B8:B37" si="1">B7+1</f>
        <v>41853</v>
      </c>
      <c r="C8" s="59"/>
      <c r="D8" s="59"/>
      <c r="E8" s="59"/>
      <c r="F8" s="59"/>
      <c r="G8" s="44" t="str">
        <f>IF(AND(WEEKDAY(B8,2)&gt;5,$C8=""),"",IF(E8&gt;0,(E8*60+F8)-(C8*60+D8)-H8+TRUNC(Info!$D$10*(I8/100)),IF(MID(C8,1,2)="Fl",0,Info!AI42))-Info!AI42)</f>
        <v/>
      </c>
      <c r="H8" s="185">
        <f>IF(AND(Info!$C$46&gt;0,$E8&gt;$C8),Info!$C$46,)</f>
        <v>0</v>
      </c>
      <c r="I8" s="185"/>
      <c r="J8" s="175" t="str">
        <f>Info!AI8</f>
        <v/>
      </c>
      <c r="K8" s="323"/>
      <c r="L8" s="338"/>
      <c r="M8" s="327"/>
      <c r="P8" s="243"/>
      <c r="Q8" s="243"/>
      <c r="R8" s="243"/>
      <c r="S8" s="243"/>
      <c r="T8" s="243"/>
      <c r="U8" s="243"/>
      <c r="V8" s="243"/>
      <c r="W8" s="243"/>
      <c r="X8" s="243"/>
      <c r="Y8" s="243"/>
      <c r="Z8" s="243"/>
    </row>
    <row r="9" spans="1:26" s="11" customFormat="1" x14ac:dyDescent="0.2">
      <c r="A9" s="148" t="str">
        <f t="shared" si="0"/>
        <v/>
      </c>
      <c r="B9" s="68">
        <f t="shared" si="1"/>
        <v>41854</v>
      </c>
      <c r="C9" s="59"/>
      <c r="D9" s="59"/>
      <c r="E9" s="59"/>
      <c r="F9" s="59"/>
      <c r="G9" s="44" t="str">
        <f>IF(AND(WEEKDAY(B9,2)&gt;5,$C9=""),"",IF(E9&gt;0,(E9*60+F9)-(C9*60+D9)-H9+TRUNC(Info!$D$10*(I9/100)),IF(MID(C9,1,2)="Fl",0,Info!AI43))-Info!AI43)</f>
        <v/>
      </c>
      <c r="H9" s="185">
        <f>IF(AND(Info!$C$46&gt;0,$E9&gt;$C9),Info!$C$46,)</f>
        <v>0</v>
      </c>
      <c r="I9" s="185"/>
      <c r="J9" s="175" t="str">
        <f>Info!AI9</f>
        <v/>
      </c>
      <c r="K9" s="323"/>
      <c r="L9" s="338"/>
      <c r="M9" s="327"/>
      <c r="P9" s="243"/>
      <c r="Q9" s="243"/>
      <c r="R9" s="243"/>
      <c r="S9" s="243"/>
      <c r="T9" s="243"/>
      <c r="U9" s="243"/>
      <c r="V9" s="243"/>
      <c r="W9" s="243"/>
      <c r="X9" s="243"/>
      <c r="Y9" s="243"/>
      <c r="Z9" s="243"/>
    </row>
    <row r="10" spans="1:26" s="11" customFormat="1" x14ac:dyDescent="0.2">
      <c r="A10" s="148">
        <f t="shared" si="0"/>
        <v>32</v>
      </c>
      <c r="B10" s="68">
        <f t="shared" si="1"/>
        <v>41855</v>
      </c>
      <c r="C10" s="59"/>
      <c r="D10" s="59"/>
      <c r="E10" s="59"/>
      <c r="F10" s="59"/>
      <c r="G10" s="44">
        <f>IF(AND(WEEKDAY(B10,2)&gt;5,$C10=""),"",IF(E10&gt;0,(E10*60+F10)-(C10*60+D10)-H10+TRUNC(Info!$D$10*(I10/100)),IF(MID(C10,1,2)="Fl",0,Info!AI44))-Info!AI44)</f>
        <v>0</v>
      </c>
      <c r="H10" s="185">
        <f>IF(AND(Info!$C$46&gt;0,$E10&gt;$C10),Info!$C$46,)</f>
        <v>0</v>
      </c>
      <c r="I10" s="185"/>
      <c r="J10" s="175" t="str">
        <f>Info!AI10</f>
        <v/>
      </c>
      <c r="K10" s="323"/>
      <c r="L10" s="338"/>
      <c r="M10" s="327"/>
      <c r="P10" s="243"/>
      <c r="Q10" s="243"/>
      <c r="R10" s="243"/>
      <c r="S10" s="243"/>
      <c r="T10" s="243"/>
      <c r="U10" s="243"/>
      <c r="V10" s="243"/>
      <c r="W10" s="243"/>
      <c r="X10" s="243"/>
      <c r="Y10" s="243"/>
      <c r="Z10" s="243"/>
    </row>
    <row r="11" spans="1:26" s="11" customFormat="1" x14ac:dyDescent="0.2">
      <c r="A11" s="148" t="str">
        <f t="shared" si="0"/>
        <v/>
      </c>
      <c r="B11" s="68">
        <f t="shared" si="1"/>
        <v>41856</v>
      </c>
      <c r="C11" s="59"/>
      <c r="D11" s="59"/>
      <c r="E11" s="59"/>
      <c r="F11" s="59"/>
      <c r="G11" s="44">
        <f>IF(AND(WEEKDAY(B11,2)&gt;5,$C11=""),"",IF(E11&gt;0,(E11*60+F11)-(C11*60+D11)-H11+TRUNC(Info!$D$10*(I11/100)),IF(MID(C11,1,2)="Fl",0,Info!AI45))-Info!AI45)</f>
        <v>0</v>
      </c>
      <c r="H11" s="185">
        <f>IF(AND(Info!$C$46&gt;0,$E11&gt;$C11),Info!$C$46,)</f>
        <v>0</v>
      </c>
      <c r="I11" s="185"/>
      <c r="J11" s="175" t="str">
        <f>Info!AI11</f>
        <v/>
      </c>
      <c r="K11" s="323"/>
      <c r="L11" s="338"/>
      <c r="M11" s="328"/>
      <c r="P11" s="243"/>
      <c r="Q11" s="243"/>
      <c r="R11" s="243"/>
      <c r="S11" s="243"/>
      <c r="T11" s="243"/>
      <c r="U11" s="243"/>
      <c r="V11" s="243"/>
      <c r="W11" s="243"/>
      <c r="X11" s="243"/>
      <c r="Y11" s="243"/>
      <c r="Z11" s="243"/>
    </row>
    <row r="12" spans="1:26" x14ac:dyDescent="0.2">
      <c r="A12" s="148" t="str">
        <f t="shared" si="0"/>
        <v/>
      </c>
      <c r="B12" s="68">
        <f t="shared" si="1"/>
        <v>41857</v>
      </c>
      <c r="C12" s="59"/>
      <c r="D12" s="59"/>
      <c r="E12" s="59"/>
      <c r="F12" s="59"/>
      <c r="G12" s="44">
        <f>IF(AND(WEEKDAY(B12,2)&gt;5,$C12=""),"",IF(E12&gt;0,(E12*60+F12)-(C12*60+D12)-H12+TRUNC(Info!$D$10*(I12/100)),IF(MID(C12,1,2)="Fl",0,Info!AI46))-Info!AI46)</f>
        <v>0</v>
      </c>
      <c r="H12" s="185">
        <f>IF(AND(Info!$C$46&gt;0,$E12&gt;$C12),Info!$C$46,)</f>
        <v>0</v>
      </c>
      <c r="I12" s="185"/>
      <c r="J12" s="175" t="str">
        <f>Info!AI12</f>
        <v/>
      </c>
      <c r="K12" s="323"/>
      <c r="L12" s="338"/>
      <c r="M12" s="140"/>
    </row>
    <row r="13" spans="1:26" s="11" customFormat="1" x14ac:dyDescent="0.2">
      <c r="A13" s="148" t="str">
        <f t="shared" si="0"/>
        <v/>
      </c>
      <c r="B13" s="68">
        <f t="shared" si="1"/>
        <v>41858</v>
      </c>
      <c r="C13" s="59"/>
      <c r="D13" s="59"/>
      <c r="E13" s="59"/>
      <c r="F13" s="59"/>
      <c r="G13" s="44">
        <f>IF(AND(WEEKDAY(B13,2)&gt;5,$C13=""),"",IF(E13&gt;0,(E13*60+F13)-(C13*60+D13)-H13+TRUNC(Info!$D$10*(I13/100)),IF(MID(C13,1,2)="Fl",0,Info!AI47))-Info!AI47)</f>
        <v>0</v>
      </c>
      <c r="H13" s="185">
        <f>IF(AND(Info!$C$46&gt;0,$E13&gt;$C13),Info!$C$46,)</f>
        <v>0</v>
      </c>
      <c r="I13" s="185"/>
      <c r="J13" s="175" t="str">
        <f>Info!AI13</f>
        <v/>
      </c>
      <c r="K13" s="323"/>
      <c r="L13" s="338"/>
      <c r="M13" s="327"/>
      <c r="P13" s="243"/>
      <c r="Q13" s="243"/>
      <c r="R13" s="243"/>
      <c r="S13" s="243"/>
      <c r="T13" s="243"/>
      <c r="U13" s="243"/>
      <c r="V13" s="243"/>
      <c r="W13" s="243"/>
      <c r="X13" s="243"/>
      <c r="Y13" s="243"/>
      <c r="Z13" s="243"/>
    </row>
    <row r="14" spans="1:26" s="11" customFormat="1" x14ac:dyDescent="0.2">
      <c r="A14" s="148" t="str">
        <f t="shared" si="0"/>
        <v/>
      </c>
      <c r="B14" s="68">
        <f t="shared" si="1"/>
        <v>41859</v>
      </c>
      <c r="C14" s="59"/>
      <c r="D14" s="59"/>
      <c r="E14" s="59"/>
      <c r="F14" s="59"/>
      <c r="G14" s="44">
        <f>IF(AND(WEEKDAY(B14,2)&gt;5,$C14=""),"",IF(E14&gt;0,(E14*60+F14)-(C14*60+D14)-H14+TRUNC(Info!$D$10*(I14/100)),IF(MID(C14,1,2)="Fl",0,Info!AI48))-Info!AI48)</f>
        <v>0</v>
      </c>
      <c r="H14" s="185">
        <f>IF(AND(Info!$C$46&gt;0,$E14&gt;$C14),Info!$C$46,)</f>
        <v>0</v>
      </c>
      <c r="I14" s="185"/>
      <c r="J14" s="175" t="str">
        <f>Info!AI14</f>
        <v/>
      </c>
      <c r="K14" s="323"/>
      <c r="L14" s="338"/>
      <c r="M14" s="327"/>
      <c r="P14" s="243"/>
      <c r="Q14" s="243"/>
      <c r="R14" s="243"/>
      <c r="S14" s="243"/>
      <c r="T14" s="243"/>
      <c r="U14" s="243"/>
      <c r="V14" s="243"/>
      <c r="W14" s="243"/>
      <c r="X14" s="243"/>
      <c r="Y14" s="243"/>
      <c r="Z14" s="243"/>
    </row>
    <row r="15" spans="1:26" s="11" customFormat="1" x14ac:dyDescent="0.2">
      <c r="A15" s="148" t="str">
        <f t="shared" si="0"/>
        <v/>
      </c>
      <c r="B15" s="68">
        <f t="shared" si="1"/>
        <v>41860</v>
      </c>
      <c r="C15" s="59"/>
      <c r="D15" s="59"/>
      <c r="E15" s="59"/>
      <c r="F15" s="59"/>
      <c r="G15" s="44" t="str">
        <f>IF(AND(WEEKDAY(B15,2)&gt;5,$C15=""),"",IF(E15&gt;0,(E15*60+F15)-(C15*60+D15)-H15+TRUNC(Info!$D$10*(I15/100)),IF(MID(C15,1,2)="Fl",0,Info!AI49))-Info!AI49)</f>
        <v/>
      </c>
      <c r="H15" s="185">
        <f>IF(AND(Info!$C$46&gt;0,$E15&gt;$C15),Info!$C$46,)</f>
        <v>0</v>
      </c>
      <c r="I15" s="185"/>
      <c r="J15" s="175" t="str">
        <f>Info!AI15</f>
        <v/>
      </c>
      <c r="K15" s="323"/>
      <c r="L15" s="338"/>
      <c r="M15" s="327"/>
      <c r="P15" s="243"/>
      <c r="Q15" s="243"/>
      <c r="R15" s="243"/>
      <c r="S15" s="243"/>
      <c r="T15" s="243"/>
      <c r="U15" s="243"/>
      <c r="V15" s="243"/>
      <c r="W15" s="243"/>
      <c r="X15" s="243"/>
      <c r="Y15" s="243"/>
      <c r="Z15" s="243"/>
    </row>
    <row r="16" spans="1:26" s="11" customFormat="1" x14ac:dyDescent="0.2">
      <c r="A16" s="148" t="str">
        <f t="shared" si="0"/>
        <v/>
      </c>
      <c r="B16" s="68">
        <f t="shared" si="1"/>
        <v>41861</v>
      </c>
      <c r="C16" s="59"/>
      <c r="D16" s="59"/>
      <c r="E16" s="59"/>
      <c r="F16" s="59"/>
      <c r="G16" s="44" t="str">
        <f>IF(AND(WEEKDAY(B16,2)&gt;5,$C16=""),"",IF(E16&gt;0,(E16*60+F16)-(C16*60+D16)-H16+TRUNC(Info!$D$10*(I16/100)),IF(MID(C16,1,2)="Fl",0,Info!AI50))-Info!AI50)</f>
        <v/>
      </c>
      <c r="H16" s="185">
        <f>IF(AND(Info!$C$46&gt;0,$E16&gt;$C16),Info!$C$46,)</f>
        <v>0</v>
      </c>
      <c r="I16" s="185"/>
      <c r="J16" s="175" t="str">
        <f>Info!AI16</f>
        <v/>
      </c>
      <c r="K16" s="323"/>
      <c r="L16" s="338"/>
      <c r="M16" s="327"/>
      <c r="P16" s="243"/>
      <c r="Q16" s="243"/>
      <c r="R16" s="243"/>
      <c r="S16" s="243"/>
      <c r="T16" s="243"/>
      <c r="U16" s="243"/>
      <c r="V16" s="243"/>
      <c r="W16" s="243"/>
      <c r="X16" s="243"/>
      <c r="Y16" s="243"/>
      <c r="Z16" s="243"/>
    </row>
    <row r="17" spans="1:26" s="11" customFormat="1" x14ac:dyDescent="0.2">
      <c r="A17" s="148">
        <f t="shared" si="0"/>
        <v>33</v>
      </c>
      <c r="B17" s="68">
        <f t="shared" si="1"/>
        <v>41862</v>
      </c>
      <c r="C17" s="59"/>
      <c r="D17" s="59"/>
      <c r="E17" s="59"/>
      <c r="F17" s="59"/>
      <c r="G17" s="44">
        <f>IF(AND(WEEKDAY(B17,2)&gt;5,$C17=""),"",IF(E17&gt;0,(E17*60+F17)-(C17*60+D17)-H17+TRUNC(Info!$D$10*(I17/100)),IF(MID(C17,1,2)="Fl",0,Info!AI51))-Info!AI51)</f>
        <v>0</v>
      </c>
      <c r="H17" s="185">
        <f>IF(AND(Info!$C$46&gt;0,$E17&gt;$C17),Info!$C$46,)</f>
        <v>0</v>
      </c>
      <c r="I17" s="185"/>
      <c r="J17" s="175" t="str">
        <f>Info!AI17</f>
        <v/>
      </c>
      <c r="K17" s="323"/>
      <c r="L17" s="338"/>
      <c r="M17" s="327"/>
      <c r="P17" s="243"/>
      <c r="Q17" s="243"/>
      <c r="R17" s="243"/>
      <c r="S17" s="243"/>
      <c r="T17" s="243"/>
      <c r="U17" s="243"/>
      <c r="V17" s="243"/>
      <c r="W17" s="243"/>
      <c r="X17" s="243"/>
      <c r="Y17" s="243"/>
      <c r="Z17" s="243"/>
    </row>
    <row r="18" spans="1:26" s="11" customFormat="1" x14ac:dyDescent="0.2">
      <c r="A18" s="148" t="str">
        <f t="shared" si="0"/>
        <v/>
      </c>
      <c r="B18" s="68">
        <f t="shared" si="1"/>
        <v>41863</v>
      </c>
      <c r="C18" s="59"/>
      <c r="D18" s="59"/>
      <c r="E18" s="59"/>
      <c r="F18" s="59"/>
      <c r="G18" s="44">
        <f>IF(AND(WEEKDAY(B18,2)&gt;5,$C18=""),"",IF(E18&gt;0,(E18*60+F18)-(C18*60+D18)-H18+TRUNC(Info!$D$10*(I18/100)),IF(MID(C18,1,2)="Fl",0,Info!AI52))-Info!AI52)</f>
        <v>0</v>
      </c>
      <c r="H18" s="185">
        <f>IF(AND(Info!$C$46&gt;0,$E18&gt;$C18),Info!$C$46,)</f>
        <v>0</v>
      </c>
      <c r="I18" s="185"/>
      <c r="J18" s="175" t="str">
        <f>Info!AI18</f>
        <v/>
      </c>
      <c r="K18" s="323"/>
      <c r="L18" s="338"/>
      <c r="M18" s="327"/>
      <c r="P18" s="243"/>
      <c r="Q18" s="243"/>
      <c r="R18" s="243"/>
      <c r="S18" s="243"/>
      <c r="T18" s="243"/>
      <c r="U18" s="243"/>
      <c r="V18" s="243"/>
      <c r="W18" s="243"/>
      <c r="X18" s="243"/>
      <c r="Y18" s="243"/>
      <c r="Z18" s="243"/>
    </row>
    <row r="19" spans="1:26" s="11" customFormat="1" x14ac:dyDescent="0.2">
      <c r="A19" s="148" t="str">
        <f t="shared" si="0"/>
        <v/>
      </c>
      <c r="B19" s="68">
        <f t="shared" si="1"/>
        <v>41864</v>
      </c>
      <c r="C19" s="59"/>
      <c r="D19" s="59"/>
      <c r="E19" s="59"/>
      <c r="F19" s="59"/>
      <c r="G19" s="44">
        <f>IF(AND(WEEKDAY(B19,2)&gt;5,$C19=""),"",IF(E19&gt;0,(E19*60+F19)-(C19*60+D19)-H19+TRUNC(Info!$D$10*(I19/100)),IF(MID(C19,1,2)="Fl",0,Info!AI53))-Info!AI53)</f>
        <v>0</v>
      </c>
      <c r="H19" s="185">
        <f>IF(AND(Info!$C$46&gt;0,$E19&gt;$C19),Info!$C$46,)</f>
        <v>0</v>
      </c>
      <c r="I19" s="185"/>
      <c r="J19" s="175" t="str">
        <f>Info!AI19</f>
        <v/>
      </c>
      <c r="K19" s="323"/>
      <c r="L19" s="338"/>
      <c r="M19" s="327"/>
      <c r="P19" s="243"/>
      <c r="Q19" s="243"/>
      <c r="R19" s="243"/>
      <c r="S19" s="243"/>
      <c r="T19" s="243"/>
      <c r="U19" s="243"/>
      <c r="V19" s="243"/>
      <c r="W19" s="243"/>
      <c r="X19" s="243"/>
      <c r="Y19" s="243"/>
      <c r="Z19" s="243"/>
    </row>
    <row r="20" spans="1:26" s="11" customFormat="1" x14ac:dyDescent="0.2">
      <c r="A20" s="148" t="str">
        <f t="shared" si="0"/>
        <v/>
      </c>
      <c r="B20" s="68">
        <f t="shared" si="1"/>
        <v>41865</v>
      </c>
      <c r="C20" s="59"/>
      <c r="D20" s="59"/>
      <c r="E20" s="59"/>
      <c r="F20" s="59"/>
      <c r="G20" s="44">
        <f>IF(AND(WEEKDAY(B20,2)&gt;5,$C20=""),"",IF(E20&gt;0,(E20*60+F20)-(C20*60+D20)-H20+TRUNC(Info!$D$10*(I20/100)),IF(MID(C20,1,2)="Fl",0,Info!AI54))-Info!AI54)</f>
        <v>0</v>
      </c>
      <c r="H20" s="185">
        <f>IF(AND(Info!$C$46&gt;0,$E20&gt;$C20),Info!$C$46,)</f>
        <v>0</v>
      </c>
      <c r="I20" s="185"/>
      <c r="J20" s="175" t="str">
        <f>Info!AI20</f>
        <v/>
      </c>
      <c r="K20" s="323"/>
      <c r="L20" s="338"/>
      <c r="M20" s="327"/>
      <c r="P20" s="243"/>
      <c r="Q20" s="243"/>
      <c r="R20" s="243"/>
      <c r="S20" s="243"/>
      <c r="T20" s="243"/>
      <c r="U20" s="243"/>
      <c r="V20" s="243"/>
      <c r="W20" s="243"/>
      <c r="X20" s="243"/>
      <c r="Y20" s="243"/>
      <c r="Z20" s="243"/>
    </row>
    <row r="21" spans="1:26" s="11" customFormat="1" x14ac:dyDescent="0.2">
      <c r="A21" s="148" t="str">
        <f t="shared" si="0"/>
        <v/>
      </c>
      <c r="B21" s="68">
        <f t="shared" si="1"/>
        <v>41866</v>
      </c>
      <c r="C21" s="59"/>
      <c r="D21" s="59"/>
      <c r="E21" s="59"/>
      <c r="F21" s="59"/>
      <c r="G21" s="44">
        <f>IF(AND(WEEKDAY(B21,2)&gt;5,$C21=""),"",IF(E21&gt;0,(E21*60+F21)-(C21*60+D21)-H21+TRUNC(Info!$D$10*(I21/100)),IF(MID(C21,1,2)="Fl",0,Info!AI55))-Info!AI55)</f>
        <v>0</v>
      </c>
      <c r="H21" s="185">
        <f>IF(AND(Info!$C$46&gt;0,$E21&gt;$C21),Info!$C$46,)</f>
        <v>0</v>
      </c>
      <c r="I21" s="185"/>
      <c r="J21" s="175" t="str">
        <f>Info!AI21</f>
        <v/>
      </c>
      <c r="K21" s="323"/>
      <c r="L21" s="338"/>
      <c r="M21" s="327"/>
      <c r="P21" s="243"/>
      <c r="Q21" s="243"/>
      <c r="R21" s="243"/>
      <c r="S21" s="243"/>
      <c r="T21" s="243"/>
      <c r="U21" s="243"/>
      <c r="V21" s="243"/>
      <c r="W21" s="243"/>
      <c r="X21" s="243"/>
      <c r="Y21" s="243"/>
      <c r="Z21" s="243"/>
    </row>
    <row r="22" spans="1:26" s="11" customFormat="1" x14ac:dyDescent="0.2">
      <c r="A22" s="148" t="str">
        <f t="shared" si="0"/>
        <v/>
      </c>
      <c r="B22" s="68">
        <f t="shared" si="1"/>
        <v>41867</v>
      </c>
      <c r="C22" s="59"/>
      <c r="D22" s="59"/>
      <c r="E22" s="59"/>
      <c r="F22" s="59"/>
      <c r="G22" s="44" t="str">
        <f>IF(AND(WEEKDAY(B22,2)&gt;5,$C22=""),"",IF(E22&gt;0,(E22*60+F22)-(C22*60+D22)-H22+TRUNC(Info!$D$10*(I22/100)),IF(MID(C22,1,2)="Fl",0,Info!AI56))-Info!AI56)</f>
        <v/>
      </c>
      <c r="H22" s="185">
        <f>IF(AND(Info!$C$46&gt;0,$E22&gt;$C22),Info!$C$46,)</f>
        <v>0</v>
      </c>
      <c r="I22" s="185"/>
      <c r="J22" s="175" t="str">
        <f>Info!AI22</f>
        <v/>
      </c>
      <c r="K22" s="323"/>
      <c r="L22" s="338"/>
      <c r="M22" s="327"/>
      <c r="P22" s="243"/>
      <c r="Q22" s="243"/>
      <c r="R22" s="243"/>
      <c r="S22" s="243"/>
      <c r="T22" s="243"/>
      <c r="U22" s="243"/>
      <c r="V22" s="243"/>
      <c r="W22" s="243"/>
      <c r="X22" s="243"/>
      <c r="Y22" s="243"/>
      <c r="Z22" s="243"/>
    </row>
    <row r="23" spans="1:26" s="11" customFormat="1" x14ac:dyDescent="0.2">
      <c r="A23" s="148" t="str">
        <f t="shared" si="0"/>
        <v/>
      </c>
      <c r="B23" s="68">
        <f t="shared" si="1"/>
        <v>41868</v>
      </c>
      <c r="C23" s="59"/>
      <c r="D23" s="59"/>
      <c r="E23" s="59"/>
      <c r="F23" s="59"/>
      <c r="G23" s="44" t="str">
        <f>IF(AND(WEEKDAY(B23,2)&gt;5,$C23=""),"",IF(E23&gt;0,(E23*60+F23)-(C23*60+D23)-H23+TRUNC(Info!$D$10*(I23/100)),IF(MID(C23,1,2)="Fl",0,Info!AI57))-Info!AI57)</f>
        <v/>
      </c>
      <c r="H23" s="185">
        <f>IF(AND(Info!$C$46&gt;0,$E23&gt;$C23),Info!$C$46,)</f>
        <v>0</v>
      </c>
      <c r="I23" s="185"/>
      <c r="J23" s="175" t="str">
        <f>Info!AI23</f>
        <v/>
      </c>
      <c r="K23" s="323"/>
      <c r="L23" s="338"/>
      <c r="M23" s="327"/>
      <c r="P23" s="243"/>
      <c r="Q23" s="243"/>
      <c r="R23" s="243"/>
      <c r="S23" s="243"/>
      <c r="T23" s="243"/>
      <c r="U23" s="243"/>
      <c r="V23" s="243"/>
      <c r="W23" s="243"/>
      <c r="X23" s="243"/>
      <c r="Y23" s="243"/>
      <c r="Z23" s="243"/>
    </row>
    <row r="24" spans="1:26" s="11" customFormat="1" x14ac:dyDescent="0.2">
      <c r="A24" s="148">
        <f t="shared" si="0"/>
        <v>34</v>
      </c>
      <c r="B24" s="68">
        <f t="shared" si="1"/>
        <v>41869</v>
      </c>
      <c r="C24" s="59"/>
      <c r="D24" s="59"/>
      <c r="E24" s="59"/>
      <c r="F24" s="59"/>
      <c r="G24" s="44">
        <f>IF(AND(WEEKDAY(B24,2)&gt;5,$C24=""),"",IF(E24&gt;0,(E24*60+F24)-(C24*60+D24)-H24+TRUNC(Info!$D$10*(I24/100)),IF(MID(C24,1,2)="Fl",0,Info!AI58))-Info!AI58)</f>
        <v>0</v>
      </c>
      <c r="H24" s="185">
        <f>IF(AND(Info!$C$46&gt;0,$E24&gt;$C24),Info!$C$46,)</f>
        <v>0</v>
      </c>
      <c r="I24" s="185"/>
      <c r="J24" s="175" t="str">
        <f>Info!AI24</f>
        <v/>
      </c>
      <c r="K24" s="323"/>
      <c r="L24" s="338"/>
      <c r="M24" s="327"/>
      <c r="P24" s="243"/>
      <c r="Q24" s="243"/>
      <c r="R24" s="243"/>
      <c r="S24" s="243"/>
      <c r="T24" s="243"/>
      <c r="U24" s="243"/>
      <c r="V24" s="243"/>
      <c r="W24" s="243"/>
      <c r="X24" s="243"/>
      <c r="Y24" s="243"/>
      <c r="Z24" s="243"/>
    </row>
    <row r="25" spans="1:26" s="11" customFormat="1" x14ac:dyDescent="0.2">
      <c r="A25" s="148" t="str">
        <f t="shared" si="0"/>
        <v/>
      </c>
      <c r="B25" s="68">
        <f t="shared" si="1"/>
        <v>41870</v>
      </c>
      <c r="C25" s="59"/>
      <c r="D25" s="59"/>
      <c r="E25" s="59"/>
      <c r="F25" s="59"/>
      <c r="G25" s="44">
        <f>IF(AND(WEEKDAY(B25,2)&gt;5,$C25=""),"",IF(E25&gt;0,(E25*60+F25)-(C25*60+D25)-H25+TRUNC(Info!$D$10*(I25/100)),IF(MID(C25,1,2)="Fl",0,Info!AI59))-Info!AI59)</f>
        <v>0</v>
      </c>
      <c r="H25" s="185">
        <f>IF(AND(Info!$C$46&gt;0,$E25&gt;$C25),Info!$C$46,)</f>
        <v>0</v>
      </c>
      <c r="I25" s="185"/>
      <c r="J25" s="175" t="str">
        <f>Info!AI25</f>
        <v>Mette Marit 41</v>
      </c>
      <c r="K25" s="323"/>
      <c r="L25" s="338"/>
      <c r="M25" s="327"/>
      <c r="P25" s="243"/>
      <c r="Q25" s="243"/>
      <c r="R25" s="243"/>
      <c r="S25" s="243"/>
      <c r="T25" s="243"/>
      <c r="U25" s="243"/>
      <c r="V25" s="243"/>
      <c r="W25" s="243"/>
      <c r="X25" s="243"/>
      <c r="Y25" s="243"/>
      <c r="Z25" s="243"/>
    </row>
    <row r="26" spans="1:26" s="11" customFormat="1" x14ac:dyDescent="0.2">
      <c r="A26" s="148" t="str">
        <f t="shared" si="0"/>
        <v/>
      </c>
      <c r="B26" s="68">
        <f t="shared" si="1"/>
        <v>41871</v>
      </c>
      <c r="C26" s="59"/>
      <c r="D26" s="59"/>
      <c r="E26" s="59"/>
      <c r="F26" s="59"/>
      <c r="G26" s="44">
        <f>IF(AND(WEEKDAY(B26,2)&gt;5,$C26=""),"",IF(E26&gt;0,(E26*60+F26)-(C26*60+D26)-H26+TRUNC(Info!$D$10*(I26/100)),IF(MID(C26,1,2)="Fl",0,Info!AI60))-Info!AI60)</f>
        <v>0</v>
      </c>
      <c r="H26" s="185">
        <f>IF(AND(Info!$C$46&gt;0,$E26&gt;$C26),Info!$C$46,)</f>
        <v>0</v>
      </c>
      <c r="I26" s="185"/>
      <c r="J26" s="175" t="str">
        <f>Info!AI26</f>
        <v/>
      </c>
      <c r="K26" s="323"/>
      <c r="L26" s="338"/>
      <c r="M26" s="327"/>
      <c r="P26" s="243"/>
      <c r="Q26" s="243"/>
      <c r="R26" s="243"/>
      <c r="S26" s="243"/>
      <c r="T26" s="243"/>
      <c r="U26" s="243"/>
      <c r="V26" s="243"/>
      <c r="W26" s="243"/>
      <c r="X26" s="243"/>
      <c r="Y26" s="243"/>
      <c r="Z26" s="243"/>
    </row>
    <row r="27" spans="1:26" s="11" customFormat="1" x14ac:dyDescent="0.2">
      <c r="A27" s="148" t="str">
        <f t="shared" si="0"/>
        <v/>
      </c>
      <c r="B27" s="68">
        <f t="shared" si="1"/>
        <v>41872</v>
      </c>
      <c r="C27" s="59"/>
      <c r="D27" s="59"/>
      <c r="E27" s="59"/>
      <c r="F27" s="59"/>
      <c r="G27" s="44">
        <f>IF(AND(WEEKDAY(B27,2)&gt;5,$C27=""),"",IF(E27&gt;0,(E27*60+F27)-(C27*60+D27)-H27+TRUNC(Info!$D$10*(I27/100)),IF(MID(C27,1,2)="Fl",0,Info!AI61))-Info!AI61)</f>
        <v>0</v>
      </c>
      <c r="H27" s="185">
        <f>IF(AND(Info!$C$46&gt;0,$E27&gt;$C27),Info!$C$46,)</f>
        <v>0</v>
      </c>
      <c r="I27" s="185"/>
      <c r="J27" s="175" t="str">
        <f>Info!AI27</f>
        <v/>
      </c>
      <c r="K27" s="323"/>
      <c r="L27" s="338"/>
      <c r="M27" s="327"/>
      <c r="P27" s="243"/>
      <c r="Q27" s="243"/>
      <c r="R27" s="243"/>
      <c r="S27" s="243"/>
      <c r="T27" s="243"/>
      <c r="U27" s="243"/>
      <c r="V27" s="243"/>
      <c r="W27" s="243"/>
      <c r="X27" s="243"/>
      <c r="Y27" s="243"/>
      <c r="Z27" s="243"/>
    </row>
    <row r="28" spans="1:26" s="11" customFormat="1" x14ac:dyDescent="0.2">
      <c r="A28" s="148" t="str">
        <f t="shared" si="0"/>
        <v/>
      </c>
      <c r="B28" s="68">
        <f t="shared" si="1"/>
        <v>41873</v>
      </c>
      <c r="C28" s="59"/>
      <c r="D28" s="59"/>
      <c r="E28" s="59"/>
      <c r="F28" s="59"/>
      <c r="G28" s="44">
        <f>IF(AND(WEEKDAY(B28,2)&gt;5,$C28=""),"",IF(E28&gt;0,(E28*60+F28)-(C28*60+D28)-H28+TRUNC(Info!$D$10*(I28/100)),IF(MID(C28,1,2)="Fl",0,Info!AI62))-Info!AI62)</f>
        <v>0</v>
      </c>
      <c r="H28" s="185">
        <f>IF(AND(Info!$C$46&gt;0,$E28&gt;$C28),Info!$C$46,)</f>
        <v>0</v>
      </c>
      <c r="I28" s="185"/>
      <c r="J28" s="175" t="str">
        <f>Info!AI28</f>
        <v/>
      </c>
      <c r="K28" s="323"/>
      <c r="L28" s="338"/>
      <c r="M28" s="327"/>
      <c r="P28" s="243"/>
      <c r="Q28" s="243"/>
      <c r="R28" s="243"/>
      <c r="S28" s="243"/>
      <c r="T28" s="243"/>
      <c r="U28" s="243"/>
      <c r="V28" s="243"/>
      <c r="W28" s="243"/>
      <c r="X28" s="243"/>
      <c r="Y28" s="243"/>
      <c r="Z28" s="243"/>
    </row>
    <row r="29" spans="1:26" s="11" customFormat="1" x14ac:dyDescent="0.2">
      <c r="A29" s="148" t="str">
        <f t="shared" si="0"/>
        <v/>
      </c>
      <c r="B29" s="68">
        <f t="shared" si="1"/>
        <v>41874</v>
      </c>
      <c r="C29" s="59"/>
      <c r="D29" s="59"/>
      <c r="E29" s="59"/>
      <c r="F29" s="59"/>
      <c r="G29" s="44" t="str">
        <f>IF(AND(WEEKDAY(B29,2)&gt;5,$C29=""),"",IF(E29&gt;0,(E29*60+F29)-(C29*60+D29)-H29+TRUNC(Info!$D$10*(I29/100)),IF(MID(C29,1,2)="Fl",0,Info!AI63))-Info!AI63)</f>
        <v/>
      </c>
      <c r="H29" s="185">
        <f>IF(AND(Info!$C$46&gt;0,$E29&gt;$C29),Info!$C$46,)</f>
        <v>0</v>
      </c>
      <c r="I29" s="185"/>
      <c r="J29" s="175" t="str">
        <f>Info!AI29</f>
        <v/>
      </c>
      <c r="K29" s="323"/>
      <c r="L29" s="338"/>
      <c r="M29" s="327"/>
      <c r="P29" s="243"/>
      <c r="Q29" s="243"/>
      <c r="R29" s="243"/>
      <c r="S29" s="243"/>
      <c r="T29" s="243"/>
      <c r="U29" s="243"/>
      <c r="V29" s="243"/>
      <c r="W29" s="243"/>
      <c r="X29" s="243"/>
      <c r="Y29" s="243"/>
      <c r="Z29" s="243"/>
    </row>
    <row r="30" spans="1:26" s="11" customFormat="1" x14ac:dyDescent="0.2">
      <c r="A30" s="148" t="str">
        <f t="shared" si="0"/>
        <v/>
      </c>
      <c r="B30" s="68">
        <f t="shared" si="1"/>
        <v>41875</v>
      </c>
      <c r="C30" s="59"/>
      <c r="D30" s="59"/>
      <c r="E30" s="59"/>
      <c r="F30" s="59"/>
      <c r="G30" s="44" t="str">
        <f>IF(AND(WEEKDAY(B30,2)&gt;5,$C30=""),"",IF(E30&gt;0,(E30*60+F30)-(C30*60+D30)-H30+TRUNC(Info!$D$10*(I30/100)),IF(MID(C30,1,2)="Fl",0,Info!AI64))-Info!AI64)</f>
        <v/>
      </c>
      <c r="H30" s="185">
        <f>IF(AND(Info!$C$46&gt;0,$E30&gt;$C30),Info!$C$46,)</f>
        <v>0</v>
      </c>
      <c r="I30" s="185"/>
      <c r="J30" s="175" t="str">
        <f>Info!AI30</f>
        <v/>
      </c>
      <c r="K30" s="323"/>
      <c r="L30" s="338"/>
      <c r="M30" s="327"/>
      <c r="P30" s="243"/>
      <c r="Q30" s="243"/>
      <c r="R30" s="243"/>
      <c r="S30" s="243"/>
      <c r="T30" s="243"/>
      <c r="U30" s="243"/>
      <c r="V30" s="243"/>
      <c r="W30" s="243"/>
      <c r="X30" s="243"/>
      <c r="Y30" s="243"/>
      <c r="Z30" s="243"/>
    </row>
    <row r="31" spans="1:26" s="11" customFormat="1" x14ac:dyDescent="0.2">
      <c r="A31" s="148">
        <f t="shared" si="0"/>
        <v>35</v>
      </c>
      <c r="B31" s="68">
        <f t="shared" si="1"/>
        <v>41876</v>
      </c>
      <c r="C31" s="59"/>
      <c r="D31" s="59"/>
      <c r="E31" s="59"/>
      <c r="F31" s="59"/>
      <c r="G31" s="44">
        <f>IF(AND(WEEKDAY(B31,2)&gt;5,$C31=""),"",IF(E31&gt;0,(E31*60+F31)-(C31*60+D31)-H31+TRUNC(Info!$D$10*(I31/100)),IF(MID(C31,1,2)="Fl",0,Info!AI65))-Info!AI65)</f>
        <v>0</v>
      </c>
      <c r="H31" s="185">
        <f>IF(AND(Info!$C$46&gt;0,$E31&gt;$C31),Info!$C$46,)</f>
        <v>0</v>
      </c>
      <c r="I31" s="185"/>
      <c r="J31" s="175" t="str">
        <f>Info!AI31</f>
        <v/>
      </c>
      <c r="K31" s="323"/>
      <c r="L31" s="338"/>
      <c r="M31" s="327"/>
      <c r="P31" s="243"/>
      <c r="Q31" s="243"/>
      <c r="R31" s="243"/>
      <c r="S31" s="243"/>
      <c r="T31" s="243"/>
      <c r="U31" s="243"/>
      <c r="V31" s="243"/>
      <c r="W31" s="243"/>
      <c r="X31" s="243"/>
      <c r="Y31" s="243"/>
      <c r="Z31" s="243"/>
    </row>
    <row r="32" spans="1:26" s="11" customFormat="1" x14ac:dyDescent="0.2">
      <c r="A32" s="148" t="str">
        <f t="shared" si="0"/>
        <v/>
      </c>
      <c r="B32" s="68">
        <f t="shared" si="1"/>
        <v>41877</v>
      </c>
      <c r="C32" s="59"/>
      <c r="D32" s="59"/>
      <c r="E32" s="59"/>
      <c r="F32" s="59"/>
      <c r="G32" s="44">
        <f>IF(AND(WEEKDAY(B32,2)&gt;5,$C32=""),"",IF(E32&gt;0,(E32*60+F32)-(C32*60+D32)-H32+TRUNC(Info!$D$10*(I32/100)),IF(MID(C32,1,2)="Fl",0,Info!AI66))-Info!AI66)</f>
        <v>0</v>
      </c>
      <c r="H32" s="185">
        <f>IF(AND(Info!$C$46&gt;0,$E32&gt;$C32),Info!$C$46,)</f>
        <v>0</v>
      </c>
      <c r="I32" s="185"/>
      <c r="J32" s="175" t="str">
        <f>Info!AI32</f>
        <v/>
      </c>
      <c r="K32" s="323"/>
      <c r="L32" s="338"/>
      <c r="M32" s="327"/>
      <c r="P32" s="243"/>
      <c r="Q32" s="243"/>
      <c r="R32" s="243"/>
      <c r="S32" s="243"/>
      <c r="T32" s="243"/>
      <c r="U32" s="243"/>
      <c r="V32" s="243"/>
      <c r="W32" s="243"/>
      <c r="X32" s="243"/>
      <c r="Y32" s="243"/>
      <c r="Z32" s="243"/>
    </row>
    <row r="33" spans="1:26" s="11" customFormat="1" x14ac:dyDescent="0.2">
      <c r="A33" s="148" t="str">
        <f t="shared" si="0"/>
        <v/>
      </c>
      <c r="B33" s="68">
        <f t="shared" si="1"/>
        <v>41878</v>
      </c>
      <c r="C33" s="59"/>
      <c r="D33" s="59"/>
      <c r="E33" s="59"/>
      <c r="F33" s="59"/>
      <c r="G33" s="44">
        <f>IF(AND(WEEKDAY(B33,2)&gt;5,$C33=""),"",IF(E33&gt;0,(E33*60+F33)-(C33*60+D33)-H33+TRUNC(Info!$D$10*(I33/100)),IF(MID(C33,1,2)="Fl",0,Info!AI67))-Info!AI67)</f>
        <v>0</v>
      </c>
      <c r="H33" s="185">
        <f>IF(AND(Info!$C$46&gt;0,$E33&gt;$C33),Info!$C$46,)</f>
        <v>0</v>
      </c>
      <c r="I33" s="185"/>
      <c r="J33" s="175" t="str">
        <f>Info!AI33</f>
        <v/>
      </c>
      <c r="K33" s="323"/>
      <c r="L33" s="338"/>
      <c r="M33" s="327"/>
      <c r="P33" s="243"/>
      <c r="Q33" s="243"/>
      <c r="R33" s="243"/>
      <c r="S33" s="243"/>
      <c r="T33" s="243"/>
      <c r="U33" s="243"/>
      <c r="V33" s="243"/>
      <c r="W33" s="243"/>
      <c r="X33" s="243"/>
      <c r="Y33" s="243"/>
      <c r="Z33" s="243"/>
    </row>
    <row r="34" spans="1:26" s="11" customFormat="1" x14ac:dyDescent="0.2">
      <c r="A34" s="148" t="str">
        <f t="shared" si="0"/>
        <v/>
      </c>
      <c r="B34" s="68">
        <f t="shared" si="1"/>
        <v>41879</v>
      </c>
      <c r="C34" s="59"/>
      <c r="D34" s="59"/>
      <c r="E34" s="59"/>
      <c r="F34" s="59"/>
      <c r="G34" s="44">
        <f>IF(AND(WEEKDAY(B34,2)&gt;5,$C34=""),"",IF(E34&gt;0,(E34*60+F34)-(C34*60+D34)-H34+TRUNC(Info!$D$10*(I34/100)),IF(MID(C34,1,2)="Fl",0,Info!AI68))-Info!AI68)</f>
        <v>0</v>
      </c>
      <c r="H34" s="185">
        <f>IF(AND(Info!$C$46&gt;0,$E34&gt;$C34),Info!$C$46,)</f>
        <v>0</v>
      </c>
      <c r="I34" s="185"/>
      <c r="J34" s="175" t="str">
        <f>Info!AI34</f>
        <v/>
      </c>
      <c r="K34" s="323"/>
      <c r="L34" s="338"/>
      <c r="M34" s="327"/>
      <c r="P34" s="243"/>
      <c r="Q34" s="243"/>
      <c r="R34" s="243"/>
      <c r="S34" s="243"/>
      <c r="T34" s="243"/>
      <c r="U34" s="243"/>
      <c r="V34" s="243"/>
      <c r="W34" s="243"/>
      <c r="X34" s="243"/>
      <c r="Y34" s="243"/>
      <c r="Z34" s="243"/>
    </row>
    <row r="35" spans="1:26" s="11" customFormat="1" x14ac:dyDescent="0.2">
      <c r="A35" s="148" t="str">
        <f t="shared" si="0"/>
        <v/>
      </c>
      <c r="B35" s="68">
        <f t="shared" si="1"/>
        <v>41880</v>
      </c>
      <c r="C35" s="59"/>
      <c r="D35" s="59"/>
      <c r="E35" s="59"/>
      <c r="F35" s="59"/>
      <c r="G35" s="44">
        <f>IF(AND(WEEKDAY(B35,2)&gt;5,$C35=""),"",IF(E35&gt;0,(E35*60+F35)-(C35*60+D35)-H35+TRUNC(Info!$D$10*(I35/100)),IF(MID(C35,1,2)="Fl",0,Info!AI69))-Info!AI69)</f>
        <v>0</v>
      </c>
      <c r="H35" s="185">
        <f>IF(AND(Info!$C$46&gt;0,$E35&gt;$C35),Info!$C$46,)</f>
        <v>0</v>
      </c>
      <c r="I35" s="185"/>
      <c r="J35" s="175" t="str">
        <f>Info!AI35</f>
        <v/>
      </c>
      <c r="K35" s="323"/>
      <c r="L35" s="338"/>
      <c r="M35" s="327"/>
      <c r="P35" s="243"/>
      <c r="Q35" s="243"/>
      <c r="R35" s="243"/>
      <c r="S35" s="243"/>
      <c r="T35" s="243"/>
      <c r="U35" s="243"/>
      <c r="V35" s="243"/>
      <c r="W35" s="243"/>
      <c r="X35" s="243"/>
      <c r="Y35" s="243"/>
      <c r="Z35" s="243"/>
    </row>
    <row r="36" spans="1:26" s="11" customFormat="1" x14ac:dyDescent="0.2">
      <c r="A36" s="148" t="str">
        <f t="shared" si="0"/>
        <v/>
      </c>
      <c r="B36" s="68">
        <f t="shared" si="1"/>
        <v>41881</v>
      </c>
      <c r="C36" s="59"/>
      <c r="D36" s="59"/>
      <c r="E36" s="59"/>
      <c r="F36" s="59"/>
      <c r="G36" s="44" t="str">
        <f>IF(AND(WEEKDAY(B36,2)&gt;5,$C36=""),"",IF(E36&gt;0,(E36*60+F36)-(C36*60+D36)-H36+TRUNC(Info!$D$10*(I36/100)),IF(MID(C36,1,2)="Fl",0,Info!AI70))-Info!AI70)</f>
        <v/>
      </c>
      <c r="H36" s="185">
        <f>IF(AND(Info!$C$46&gt;0,$E36&gt;$C36),Info!$C$46,)</f>
        <v>0</v>
      </c>
      <c r="I36" s="185"/>
      <c r="J36" s="175" t="str">
        <f>Info!AI36</f>
        <v/>
      </c>
      <c r="K36" s="323"/>
      <c r="L36" s="338"/>
      <c r="M36" s="327"/>
      <c r="P36" s="243"/>
      <c r="Q36" s="243"/>
      <c r="R36" s="243"/>
      <c r="S36" s="243"/>
      <c r="T36" s="243"/>
      <c r="U36" s="243"/>
      <c r="V36" s="243"/>
      <c r="W36" s="243"/>
      <c r="X36" s="243"/>
      <c r="Y36" s="243"/>
      <c r="Z36" s="243"/>
    </row>
    <row r="37" spans="1:26" s="11" customFormat="1" ht="13.5" thickBot="1" x14ac:dyDescent="0.25">
      <c r="A37" s="148" t="str">
        <f t="shared" si="0"/>
        <v/>
      </c>
      <c r="B37" s="69">
        <f t="shared" si="1"/>
        <v>41882</v>
      </c>
      <c r="C37" s="60"/>
      <c r="D37" s="60"/>
      <c r="E37" s="60"/>
      <c r="F37" s="60"/>
      <c r="G37" s="52" t="str">
        <f>IF(AND(WEEKDAY(B37,2)&gt;5,$C37=""),"",IF(E37&gt;0,(E37*60+F37)-(C37*60+D37)-H37+TRUNC(Info!$D$10*(I37/100)),IF(MID(C37,1,2)="Fl",0,Info!AI71))-Info!AI71)</f>
        <v/>
      </c>
      <c r="H37" s="186">
        <f>IF(AND(Info!$C$46&gt;0,$E37&gt;$C37),Info!$C$46,)</f>
        <v>0</v>
      </c>
      <c r="I37" s="186"/>
      <c r="J37" s="176" t="str">
        <f>Info!AI37</f>
        <v/>
      </c>
      <c r="K37" s="323"/>
      <c r="L37" s="338"/>
      <c r="M37" s="327"/>
      <c r="P37" s="243"/>
      <c r="Q37" s="243"/>
      <c r="R37" s="243"/>
      <c r="S37" s="243"/>
      <c r="T37" s="243"/>
      <c r="U37" s="243"/>
      <c r="V37" s="243"/>
      <c r="W37" s="243"/>
      <c r="X37" s="243"/>
      <c r="Y37" s="243"/>
      <c r="Z37" s="243"/>
    </row>
    <row r="38" spans="1:26" x14ac:dyDescent="0.2">
      <c r="G38" s="45"/>
      <c r="H38" s="12"/>
      <c r="I38" s="12"/>
      <c r="K38" s="313">
        <f>SUM(K7:K37)</f>
        <v>0</v>
      </c>
      <c r="L38" s="313">
        <f>SUM(L7:L37)</f>
        <v>0</v>
      </c>
      <c r="M38" s="327"/>
      <c r="N38" s="337">
        <f>SUM(Juli!$K$27:'Juli'!$K35)+SUM($K$7:$K$26)</f>
        <v>0</v>
      </c>
    </row>
    <row r="39" spans="1:26" x14ac:dyDescent="0.2">
      <c r="K39" s="342" t="str">
        <f>ROUNDDOWN(K38/60,1)&amp;" t"</f>
        <v>0 t</v>
      </c>
      <c r="L39" s="96" t="s">
        <v>217</v>
      </c>
      <c r="N39" s="330" t="str">
        <f>ROUNDDOWN(N38/60,1)&amp;" t  i perioden 21."&amp;TEXT(B7-1,"m")&amp;"-20."&amp;TEXT(B7,"m")</f>
        <v>0 t  i perioden 21.7-20.8</v>
      </c>
    </row>
    <row r="40" spans="1:26" x14ac:dyDescent="0.2">
      <c r="B40" s="454" t="s">
        <v>141</v>
      </c>
      <c r="C40" s="455"/>
      <c r="D40" s="455"/>
      <c r="E40" s="456"/>
      <c r="F40" s="208" t="s">
        <v>48</v>
      </c>
      <c r="G40" s="209" t="s">
        <v>49</v>
      </c>
      <c r="H40" s="482" t="s">
        <v>50</v>
      </c>
      <c r="I40" s="460"/>
      <c r="J40" s="14" t="s">
        <v>19</v>
      </c>
      <c r="K40" s="92"/>
      <c r="L40" s="92"/>
    </row>
    <row r="41" spans="1:26" x14ac:dyDescent="0.2">
      <c r="B41" s="191" t="str">
        <f>J$2&amp;":"</f>
        <v>August:</v>
      </c>
      <c r="C41" s="1"/>
      <c r="D41" s="1"/>
      <c r="E41" s="40">
        <f>SUM(G$7:G$37)</f>
        <v>0</v>
      </c>
      <c r="F41" s="38">
        <f>TRUNC(E41/60,)</f>
        <v>0</v>
      </c>
      <c r="G41" s="50">
        <f>((E41/60)-F41)*60</f>
        <v>0</v>
      </c>
      <c r="H41" s="473"/>
      <c r="I41" s="474"/>
      <c r="J41" s="15" t="s">
        <v>145</v>
      </c>
      <c r="K41" s="92"/>
      <c r="L41" s="92"/>
    </row>
    <row r="42" spans="1:26" x14ac:dyDescent="0.2">
      <c r="B42" s="192" t="str">
        <f>"Fra "&amp;TEXT(($B$7-1),"mmmm")&amp;":"</f>
        <v>Fra juli:</v>
      </c>
      <c r="C42" s="1"/>
      <c r="D42" s="1"/>
      <c r="E42" s="40">
        <f>Juli!$E$43</f>
        <v>0</v>
      </c>
      <c r="F42" s="39">
        <f>TRUNC(E42/60,)</f>
        <v>0</v>
      </c>
      <c r="G42" s="51">
        <f>((E42/60)-F42)*60</f>
        <v>0</v>
      </c>
      <c r="H42" s="473"/>
      <c r="I42" s="474"/>
      <c r="J42" s="15" t="s">
        <v>146</v>
      </c>
      <c r="K42" s="92"/>
      <c r="L42" s="92"/>
    </row>
    <row r="43" spans="1:26" x14ac:dyDescent="0.2">
      <c r="B43" s="210" t="s">
        <v>142</v>
      </c>
      <c r="C43" s="1"/>
      <c r="D43" s="1"/>
      <c r="E43" s="193">
        <f>E41+E42</f>
        <v>0</v>
      </c>
      <c r="F43" s="80">
        <f>TRUNC(E43/60,)</f>
        <v>0</v>
      </c>
      <c r="G43" s="81">
        <f>((E43/60)-F43)*60</f>
        <v>0</v>
      </c>
      <c r="H43" s="457">
        <f>E43/Info!$D$10</f>
        <v>0</v>
      </c>
      <c r="I43" s="451"/>
      <c r="J43" s="213" t="s">
        <v>147</v>
      </c>
      <c r="K43" s="92"/>
      <c r="L43" s="92"/>
    </row>
    <row r="44" spans="1:26" x14ac:dyDescent="0.2">
      <c r="B44" s="454" t="s">
        <v>133</v>
      </c>
      <c r="C44" s="455"/>
      <c r="D44" s="455"/>
      <c r="E44" s="456"/>
      <c r="F44" s="1"/>
      <c r="G44" s="46"/>
      <c r="H44" s="461">
        <f>IF(Info!$C$47="Ja",E43/Info!$D$11,)</f>
        <v>0</v>
      </c>
      <c r="I44" s="461"/>
      <c r="J44" s="17" t="s">
        <v>40</v>
      </c>
      <c r="K44" s="92"/>
      <c r="L44" s="92"/>
    </row>
    <row r="45" spans="1:26" x14ac:dyDescent="0.2">
      <c r="B45" s="191" t="str">
        <f>J$2&amp;":"</f>
        <v>August:</v>
      </c>
      <c r="C45" s="194"/>
      <c r="D45" s="195"/>
      <c r="E45" s="196">
        <f>COUNTIF(C$7:C$37,"Fe*")</f>
        <v>0</v>
      </c>
      <c r="G45" s="47"/>
      <c r="H45" s="18"/>
      <c r="I45" s="18"/>
      <c r="J45" s="25"/>
      <c r="K45" s="92"/>
      <c r="L45" s="92"/>
    </row>
    <row r="46" spans="1:26" x14ac:dyDescent="0.2">
      <c r="B46" s="192" t="s">
        <v>143</v>
      </c>
      <c r="C46" s="7"/>
      <c r="D46" s="7"/>
      <c r="E46" s="197">
        <f>Juli!$E$47</f>
        <v>0</v>
      </c>
      <c r="F46" s="10"/>
      <c r="G46" s="48"/>
      <c r="H46" s="19"/>
      <c r="I46" s="19"/>
      <c r="J46" s="26"/>
      <c r="K46" s="92"/>
      <c r="L46" s="92"/>
    </row>
    <row r="47" spans="1:26" x14ac:dyDescent="0.2">
      <c r="B47" s="211" t="s">
        <v>44</v>
      </c>
      <c r="C47" s="198"/>
      <c r="D47" s="198"/>
      <c r="E47" s="199">
        <f>E46-E45</f>
        <v>0</v>
      </c>
      <c r="F47" s="2"/>
      <c r="G47" s="48"/>
      <c r="H47" s="19"/>
      <c r="I47" s="19"/>
      <c r="J47" s="26"/>
      <c r="K47" s="92"/>
      <c r="L47" s="92"/>
    </row>
    <row r="48" spans="1:26" x14ac:dyDescent="0.2">
      <c r="B48" s="454" t="s">
        <v>140</v>
      </c>
      <c r="C48" s="455"/>
      <c r="D48" s="455"/>
      <c r="E48" s="456"/>
      <c r="F48" s="454" t="s">
        <v>87</v>
      </c>
      <c r="G48" s="458"/>
      <c r="H48" s="459"/>
      <c r="I48" s="460"/>
      <c r="K48" s="92"/>
      <c r="L48" s="92"/>
    </row>
    <row r="49" spans="2:12" x14ac:dyDescent="0.2">
      <c r="B49" s="191" t="str">
        <f>J$2&amp;":"</f>
        <v>August:</v>
      </c>
      <c r="C49" s="195"/>
      <c r="D49" s="195"/>
      <c r="E49" s="200">
        <f>COUNTIF(C$7:C$37,"S*")</f>
        <v>0</v>
      </c>
      <c r="F49" s="464" t="str">
        <f>IF(E49&gt;0,"- av disse","")</f>
        <v/>
      </c>
      <c r="G49" s="465"/>
      <c r="H49" s="466" t="str">
        <f>IF(E49&gt;0,E49-COUNTIF(C$7:C$37,"s*m*"),"")</f>
        <v/>
      </c>
      <c r="I49" s="467"/>
      <c r="K49" s="92"/>
      <c r="L49" s="92"/>
    </row>
    <row r="50" spans="2:12" x14ac:dyDescent="0.2">
      <c r="B50" s="211" t="str">
        <f>J$1&amp;":"</f>
        <v>2014:</v>
      </c>
      <c r="C50" s="198"/>
      <c r="D50" s="198"/>
      <c r="E50" s="201">
        <f>Juli!$E$50+E49</f>
        <v>0</v>
      </c>
      <c r="F50" s="452" t="s">
        <v>148</v>
      </c>
      <c r="G50" s="453"/>
      <c r="H50" s="450">
        <f>SUM(Info!$I$12:'Info'!$I$15)+SUM(Info!$J$4:'Info'!$J$10)+E49-COUNTIF(C$7:C$37,"s*m*")</f>
        <v>0</v>
      </c>
      <c r="I50" s="451"/>
      <c r="K50" s="92"/>
      <c r="L50" s="92"/>
    </row>
    <row r="51" spans="2:12" x14ac:dyDescent="0.2">
      <c r="B51" s="454" t="s">
        <v>144</v>
      </c>
      <c r="C51" s="455"/>
      <c r="D51" s="455"/>
      <c r="E51" s="456"/>
      <c r="K51" s="92"/>
      <c r="L51" s="92"/>
    </row>
    <row r="52" spans="2:12" x14ac:dyDescent="0.2">
      <c r="B52" s="202" t="str">
        <f>"Sykt barn/-passer i "&amp;LOWER(J$2)&amp;":"</f>
        <v>Sykt barn/-passer i august:</v>
      </c>
      <c r="C52" s="28"/>
      <c r="D52" s="203"/>
      <c r="E52" s="204">
        <f>COUNTIF(C$7:C$37,"P*b*")</f>
        <v>0</v>
      </c>
      <c r="F52" s="1"/>
      <c r="G52" s="49"/>
      <c r="H52" s="19"/>
      <c r="I52" s="19"/>
      <c r="K52" s="92"/>
      <c r="L52" s="92"/>
    </row>
    <row r="53" spans="2:12" x14ac:dyDescent="0.2">
      <c r="B53" s="205" t="str">
        <f>"Velferdspermisjon i "&amp;LOWER(J$2)&amp;":"</f>
        <v>Velferdspermisjon i august:</v>
      </c>
      <c r="C53" s="1"/>
      <c r="D53" s="1"/>
      <c r="E53" s="206">
        <f>COUNTIF(C$7:C$37,"P*v*")</f>
        <v>0</v>
      </c>
      <c r="K53" s="92"/>
      <c r="L53" s="92"/>
    </row>
    <row r="54" spans="2:12" x14ac:dyDescent="0.2">
      <c r="B54" s="205" t="str">
        <f>"Annen permisjon i "&amp;LOWER(J$2)&amp;":"</f>
        <v>Annen permisjon i august:</v>
      </c>
      <c r="C54" s="1"/>
      <c r="D54" s="1"/>
      <c r="E54" s="206">
        <f>COUNTIF(C$7:C$37,"P*a*")</f>
        <v>0</v>
      </c>
      <c r="J54" s="429"/>
      <c r="K54" s="92"/>
      <c r="L54" s="92"/>
    </row>
    <row r="55" spans="2:12" x14ac:dyDescent="0.2">
      <c r="B55" s="212" t="str">
        <f>J$1&amp;":"</f>
        <v>2014:</v>
      </c>
      <c r="C55" s="31"/>
      <c r="D55" s="31"/>
      <c r="E55" s="207">
        <f>Juli!$E$55+SUM(E52:E54)</f>
        <v>0</v>
      </c>
      <c r="J55" s="314" t="s">
        <v>233</v>
      </c>
      <c r="K55" s="92"/>
      <c r="L55" s="92"/>
    </row>
  </sheetData>
  <sheetProtection selectLockedCells="1"/>
  <mergeCells count="16">
    <mergeCell ref="K5:L5"/>
    <mergeCell ref="F49:G49"/>
    <mergeCell ref="F50:G50"/>
    <mergeCell ref="B51:E51"/>
    <mergeCell ref="B40:E40"/>
    <mergeCell ref="B44:E44"/>
    <mergeCell ref="B48:E48"/>
    <mergeCell ref="F48:I48"/>
    <mergeCell ref="H49:I49"/>
    <mergeCell ref="H50:I50"/>
    <mergeCell ref="H43:I43"/>
    <mergeCell ref="H44:I44"/>
    <mergeCell ref="H5:I5"/>
    <mergeCell ref="H40:I40"/>
    <mergeCell ref="H41:I41"/>
    <mergeCell ref="H42:I42"/>
  </mergeCells>
  <phoneticPr fontId="0" type="noConversion"/>
  <conditionalFormatting sqref="G7:G37">
    <cfRule type="expression" dxfId="119" priority="1" stopIfTrue="1">
      <formula>WEEKDAY($B7,2)&gt;5</formula>
    </cfRule>
  </conditionalFormatting>
  <conditionalFormatting sqref="A7">
    <cfRule type="expression" dxfId="118" priority="2" stopIfTrue="1">
      <formula>AND((TODAY()-WEEKDAY(TODAY(),2)+7)&gt;=B7,(TODAY()-WEEKDAY(TODAY(),2)&lt;B7))</formula>
    </cfRule>
  </conditionalFormatting>
  <conditionalFormatting sqref="A8:A37">
    <cfRule type="expression" dxfId="117" priority="3" stopIfTrue="1">
      <formula>(TODAY()-WEEKDAY(TODAY(),2)+1)=B8</formula>
    </cfRule>
  </conditionalFormatting>
  <conditionalFormatting sqref="C7:F37 H7:I37">
    <cfRule type="expression" dxfId="116" priority="4" stopIfTrue="1">
      <formula>$B7=TODAY()</formula>
    </cfRule>
    <cfRule type="expression" dxfId="115" priority="5" stopIfTrue="1">
      <formula>WEEKDAY($B7,2)&gt;5</formula>
    </cfRule>
  </conditionalFormatting>
  <conditionalFormatting sqref="B7:B37">
    <cfRule type="expression" dxfId="114" priority="6" stopIfTrue="1">
      <formula>AND(B7=TODAY(),OR(WEEKDAY(B7,2)&gt;5,LEFT($A7,1)=" "))</formula>
    </cfRule>
    <cfRule type="expression" dxfId="113" priority="7" stopIfTrue="1">
      <formula>B7=TODAY()</formula>
    </cfRule>
    <cfRule type="expression" dxfId="112" priority="8" stopIfTrue="1">
      <formula>OR(WEEKDAY($B7,2)&gt;5,LEFT($A7,1)=" ")</formula>
    </cfRule>
  </conditionalFormatting>
  <conditionalFormatting sqref="J7:J37">
    <cfRule type="expression" dxfId="111" priority="9" stopIfTrue="1">
      <formula>$B7=TODAY()</formula>
    </cfRule>
    <cfRule type="expression" dxfId="110" priority="10" stopIfTrue="1">
      <formula>WEEKDAY($B7,2)&gt;5</formula>
    </cfRule>
  </conditionalFormatting>
  <conditionalFormatting sqref="G6">
    <cfRule type="expression" dxfId="109" priority="11" stopIfTrue="1">
      <formula>AND(H43&gt;-0.99,H43&lt;-0.01)</formula>
    </cfRule>
    <cfRule type="expression" dxfId="108" priority="12" stopIfTrue="1">
      <formula>H43&lt;=-2</formula>
    </cfRule>
    <cfRule type="expression" dxfId="107" priority="13" stopIfTrue="1">
      <formula>AND(H43&gt;-1.99,H43&lt;-1)</formula>
    </cfRule>
  </conditionalFormatting>
  <conditionalFormatting sqref="N2:N6">
    <cfRule type="expression" dxfId="106" priority="31" stopIfTrue="1">
      <formula>MONTH($B$7)=MONTH(TODAY())</formula>
    </cfRule>
  </conditionalFormatting>
  <conditionalFormatting sqref="H50">
    <cfRule type="cellIs" dxfId="105" priority="14" stopIfTrue="1" operator="greaterThan">
      <formula>22</formula>
    </cfRule>
  </conditionalFormatting>
  <conditionalFormatting sqref="H43">
    <cfRule type="cellIs" dxfId="104" priority="15" stopIfTrue="1" operator="between">
      <formula>-0.4</formula>
      <formula>-0.9999999</formula>
    </cfRule>
    <cfRule type="cellIs" dxfId="103" priority="16" stopIfTrue="1" operator="lessThanOrEqual">
      <formula>-2</formula>
    </cfRule>
    <cfRule type="cellIs" dxfId="102" priority="17" stopIfTrue="1" operator="between">
      <formula>-1</formula>
      <formula>-1.99999999</formula>
    </cfRule>
  </conditionalFormatting>
  <conditionalFormatting sqref="K39">
    <cfRule type="expression" dxfId="101" priority="36" stopIfTrue="1">
      <formula>K38&lt;=0</formula>
    </cfRule>
  </conditionalFormatting>
  <conditionalFormatting sqref="L39">
    <cfRule type="expression" dxfId="100" priority="37" stopIfTrue="1">
      <formula>OR(K38&lt;=0,N38&lt;=0)</formula>
    </cfRule>
  </conditionalFormatting>
  <conditionalFormatting sqref="K38:L38">
    <cfRule type="cellIs" dxfId="99" priority="38" stopIfTrue="1" operator="lessThanOrEqual">
      <formula>0</formula>
    </cfRule>
  </conditionalFormatting>
  <conditionalFormatting sqref="K7:L37">
    <cfRule type="expression" dxfId="98" priority="39" stopIfTrue="1">
      <formula>$B7=TODAY()</formula>
    </cfRule>
    <cfRule type="expression" dxfId="97" priority="40" stopIfTrue="1">
      <formula>WEEKDAY($B7,2)&gt;5</formula>
    </cfRule>
  </conditionalFormatting>
  <conditionalFormatting sqref="N39">
    <cfRule type="expression" dxfId="96" priority="41" stopIfTrue="1">
      <formula>N38&lt;=0</formula>
    </cfRule>
  </conditionalFormatting>
  <pageMargins left="0.78740157480314965" right="0.19685039370078741" top="0.78740157480314965" bottom="0.98425196850393704" header="0.51181102362204722" footer="0.51181102362204722"/>
  <pageSetup paperSize="9" orientation="portrait" r:id="rId1"/>
  <headerFooter alignWithMargins="0">
    <oddFooter>&amp;R&amp;7ghe&amp;G 2011</oddFooter>
  </headerFooter>
  <ignoredErrors>
    <ignoredError sqref="J7:J37 H7:H37" unlockedFormula="1"/>
  </ignoredErrors>
  <drawing r:id="rId2"/>
  <legacyDrawing r:id="rId3"/>
  <legacyDrawingHF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1" enableFormatConditionsCalculation="0">
    <tabColor indexed="51"/>
  </sheetPr>
  <dimension ref="A1:Z55"/>
  <sheetViews>
    <sheetView showGridLines="0" workbookViewId="0">
      <pane ySplit="6" topLeftCell="A7" activePane="bottomLeft" state="frozenSplit"/>
      <selection pane="bottomLeft" activeCell="C7" sqref="C7"/>
    </sheetView>
  </sheetViews>
  <sheetFormatPr baseColWidth="10" defaultColWidth="9.140625" defaultRowHeight="12.75" x14ac:dyDescent="0.2"/>
  <cols>
    <col min="1" max="1" width="3" style="149" customWidth="1"/>
    <col min="2" max="2" width="7.5703125" customWidth="1"/>
    <col min="3" max="5" width="9.140625" customWidth="1"/>
    <col min="6" max="6" width="8.5703125" customWidth="1"/>
    <col min="7" max="7" width="7.140625" style="41" customWidth="1"/>
    <col min="8" max="8" width="5" style="8" customWidth="1"/>
    <col min="9" max="9" width="3.42578125" style="8" customWidth="1"/>
    <col min="10" max="10" width="31.140625" style="10" customWidth="1"/>
    <col min="11" max="12" width="4.7109375" customWidth="1"/>
    <col min="13" max="13" width="1.85546875" style="92" customWidth="1"/>
    <col min="14" max="14" width="20.28515625" customWidth="1"/>
    <col min="15" max="15" width="2.140625" customWidth="1"/>
    <col min="16" max="16" width="8.7109375" style="244" customWidth="1"/>
    <col min="17" max="26" width="9.140625" style="244"/>
  </cols>
  <sheetData>
    <row r="1" spans="1:26" s="92" customFormat="1" x14ac:dyDescent="0.2">
      <c r="A1" s="133"/>
      <c r="G1" s="347"/>
      <c r="H1" s="348"/>
      <c r="I1" s="348"/>
      <c r="J1" s="380">
        <f>Info!$E$1</f>
        <v>2014</v>
      </c>
    </row>
    <row r="2" spans="1:26" s="92" customFormat="1" ht="23.25" x14ac:dyDescent="0.35">
      <c r="A2" s="350"/>
      <c r="B2" s="381"/>
      <c r="C2" s="381"/>
      <c r="D2" s="382"/>
      <c r="E2" s="382"/>
      <c r="F2" s="383" t="str">
        <f>Info!C41</f>
        <v>Fleksitid</v>
      </c>
      <c r="G2" s="384"/>
      <c r="H2" s="385"/>
      <c r="I2" s="385"/>
      <c r="J2" s="386" t="s">
        <v>18</v>
      </c>
      <c r="N2" s="325"/>
    </row>
    <row r="3" spans="1:26" s="92" customFormat="1" ht="17.25" customHeight="1" x14ac:dyDescent="0.2">
      <c r="A3" s="133"/>
      <c r="B3" s="356"/>
      <c r="C3" s="357"/>
      <c r="D3" s="358"/>
      <c r="E3" s="359"/>
      <c r="F3" s="360">
        <f>Info!$C$5</f>
        <v>0</v>
      </c>
      <c r="G3" s="361"/>
      <c r="H3" s="362"/>
      <c r="I3" s="362"/>
      <c r="J3" s="314"/>
      <c r="N3" s="325"/>
    </row>
    <row r="4" spans="1:26" s="92" customFormat="1" ht="15" customHeight="1" thickBot="1" x14ac:dyDescent="0.25">
      <c r="A4" s="133"/>
      <c r="B4" s="363"/>
      <c r="C4" s="364"/>
      <c r="D4" s="365"/>
      <c r="E4" s="366"/>
      <c r="F4" s="367">
        <f>Info!$C$6</f>
        <v>0</v>
      </c>
      <c r="G4" s="368"/>
      <c r="H4" s="366"/>
      <c r="I4" s="366"/>
      <c r="J4" s="365"/>
      <c r="N4" s="325"/>
    </row>
    <row r="5" spans="1:26" x14ac:dyDescent="0.2">
      <c r="B5" s="3"/>
      <c r="C5" s="4" t="s">
        <v>0</v>
      </c>
      <c r="D5" s="4"/>
      <c r="E5" s="4" t="s">
        <v>1</v>
      </c>
      <c r="F5" s="4"/>
      <c r="G5" s="42"/>
      <c r="H5" s="468" t="s">
        <v>208</v>
      </c>
      <c r="I5" s="469"/>
      <c r="J5" s="9" t="s">
        <v>6</v>
      </c>
      <c r="K5" s="462" t="s">
        <v>216</v>
      </c>
      <c r="L5" s="463"/>
      <c r="M5" s="326"/>
      <c r="N5" s="11"/>
    </row>
    <row r="6" spans="1:26" ht="13.5" thickBot="1" x14ac:dyDescent="0.25">
      <c r="B6" s="5" t="s">
        <v>2</v>
      </c>
      <c r="C6" s="6" t="s">
        <v>3</v>
      </c>
      <c r="D6" s="6" t="s">
        <v>4</v>
      </c>
      <c r="E6" s="6" t="s">
        <v>3</v>
      </c>
      <c r="F6" s="6" t="s">
        <v>4</v>
      </c>
      <c r="G6" s="188" t="s">
        <v>139</v>
      </c>
      <c r="H6" s="6" t="s">
        <v>4</v>
      </c>
      <c r="I6" s="308" t="s">
        <v>207</v>
      </c>
      <c r="J6" s="172" t="str">
        <f>"Fleksi"&amp;IF(E42&lt;Info!D10,"tid: "&amp;IF(E42&lt;0,"-","")&amp;ABS(F42)&amp;":"&amp;ABS(ROUND(G42,)),"dager: "&amp;ROUND(H$42,1)&amp;IF(Info!C47="Ja"," ("&amp;ROUND(H$43,1)&amp;")",""))&amp;"   Ferie: "&amp;E$46</f>
        <v>Fleksitid: 0:0   Ferie: 0</v>
      </c>
      <c r="K6" s="320" t="s">
        <v>4</v>
      </c>
      <c r="L6" s="322" t="s">
        <v>215</v>
      </c>
      <c r="M6" s="133"/>
      <c r="N6" s="11"/>
    </row>
    <row r="7" spans="1:26" s="11" customFormat="1" x14ac:dyDescent="0.2">
      <c r="A7" s="148">
        <f>IF(WEEKDAY(B7,2)&lt;6,INT((B7-(DATE(YEAR(B7+(MOD(8-WEEKDAY(B7),7)-3)),1,1))-3+
MOD(WEEKDAY(DATE(YEAR(B7+(MOD(8-WEEKDAY(B7),7)-3)),1,1))+1,7))/7)+1,"")</f>
        <v>36</v>
      </c>
      <c r="B7" s="68">
        <f>DATE(Info!$E$1,9,1)</f>
        <v>41883</v>
      </c>
      <c r="C7" s="59"/>
      <c r="D7" s="59"/>
      <c r="E7" s="59"/>
      <c r="F7" s="59"/>
      <c r="G7" s="44">
        <f>IF(AND(WEEKDAY(B7,2)&gt;5,$C7=""),"",IF(E7&gt;0,(E7*60+F7)-(C7*60+D7)-H7+TRUNC(Info!$D$10*(I7/100)),IF(MID(C7,1,2)="Fl",0,Info!AJ41))-Info!AJ41)</f>
        <v>0</v>
      </c>
      <c r="H7" s="185">
        <f>IF(AND(Info!$C$46&gt;0,$E7&gt;$C7),Info!$C$46,)</f>
        <v>0</v>
      </c>
      <c r="I7" s="185"/>
      <c r="J7" s="175" t="str">
        <f>Info!AJ7</f>
        <v/>
      </c>
      <c r="K7" s="323"/>
      <c r="L7" s="338"/>
      <c r="M7" s="327"/>
      <c r="P7" s="243"/>
      <c r="Q7" s="243"/>
      <c r="R7" s="243"/>
      <c r="S7" s="243"/>
      <c r="T7" s="243"/>
      <c r="U7" s="243"/>
      <c r="V7" s="243"/>
      <c r="W7" s="243"/>
      <c r="X7" s="243"/>
      <c r="Y7" s="243"/>
      <c r="Z7" s="243"/>
    </row>
    <row r="8" spans="1:26" s="11" customFormat="1" x14ac:dyDescent="0.2">
      <c r="A8" s="148" t="str">
        <f t="shared" ref="A8:A36" si="0">IF(WEEKDAY(B8,2)=1,INT((B8-(DATE(YEAR(B8+(MOD(8-WEEKDAY(B8),7)-3)),1,1))-3+
MOD(WEEKDAY(DATE(YEAR(B8+(MOD(8-WEEKDAY(B8),7)-3)),1,1))+1,7))/7)+1,"")</f>
        <v/>
      </c>
      <c r="B8" s="68">
        <f t="shared" ref="B8:B36" si="1">B7+1</f>
        <v>41884</v>
      </c>
      <c r="C8" s="59"/>
      <c r="D8" s="59"/>
      <c r="E8" s="59"/>
      <c r="F8" s="59"/>
      <c r="G8" s="44">
        <f>IF(AND(WEEKDAY(B8,2)&gt;5,$C8=""),"",IF(E8&gt;0,(E8*60+F8)-(C8*60+D8)-H8+TRUNC(Info!$D$10*(I8/100)),IF(MID(C8,1,2)="Fl",0,Info!AJ42))-Info!AJ42)</f>
        <v>0</v>
      </c>
      <c r="H8" s="185">
        <f>IF(AND(Info!$C$46&gt;0,$E8&gt;$C8),Info!$C$46,)</f>
        <v>0</v>
      </c>
      <c r="I8" s="185"/>
      <c r="J8" s="175" t="str">
        <f>Info!AJ8</f>
        <v/>
      </c>
      <c r="K8" s="323"/>
      <c r="L8" s="338"/>
      <c r="M8" s="327"/>
      <c r="P8" s="243"/>
      <c r="Q8" s="243"/>
      <c r="R8" s="243"/>
      <c r="S8" s="243"/>
      <c r="T8" s="243"/>
      <c r="U8" s="243"/>
      <c r="V8" s="243"/>
      <c r="W8" s="243"/>
      <c r="X8" s="243"/>
      <c r="Y8" s="243"/>
      <c r="Z8" s="243"/>
    </row>
    <row r="9" spans="1:26" s="11" customFormat="1" x14ac:dyDescent="0.2">
      <c r="A9" s="148" t="str">
        <f t="shared" si="0"/>
        <v/>
      </c>
      <c r="B9" s="68">
        <f t="shared" si="1"/>
        <v>41885</v>
      </c>
      <c r="C9" s="59"/>
      <c r="D9" s="59"/>
      <c r="E9" s="59"/>
      <c r="F9" s="59"/>
      <c r="G9" s="44">
        <f>IF(AND(WEEKDAY(B9,2)&gt;5,$C9=""),"",IF(E9&gt;0,(E9*60+F9)-(C9*60+D9)-H9+TRUNC(Info!$D$10*(I9/100)),IF(MID(C9,1,2)="Fl",0,Info!AJ43))-Info!AJ43)</f>
        <v>0</v>
      </c>
      <c r="H9" s="185">
        <f>IF(AND(Info!$C$46&gt;0,$E9&gt;$C9),Info!$C$46,)</f>
        <v>0</v>
      </c>
      <c r="I9" s="185"/>
      <c r="J9" s="175" t="str">
        <f>Info!AJ9</f>
        <v/>
      </c>
      <c r="K9" s="323"/>
      <c r="L9" s="338"/>
      <c r="M9" s="327"/>
      <c r="P9" s="243"/>
      <c r="Q9" s="243"/>
      <c r="R9" s="243"/>
      <c r="S9" s="243"/>
      <c r="T9" s="243"/>
      <c r="U9" s="243"/>
      <c r="V9" s="243"/>
      <c r="W9" s="243"/>
      <c r="X9" s="243"/>
      <c r="Y9" s="243"/>
      <c r="Z9" s="243"/>
    </row>
    <row r="10" spans="1:26" s="11" customFormat="1" x14ac:dyDescent="0.2">
      <c r="A10" s="148" t="str">
        <f t="shared" si="0"/>
        <v/>
      </c>
      <c r="B10" s="68">
        <f t="shared" si="1"/>
        <v>41886</v>
      </c>
      <c r="C10" s="59"/>
      <c r="D10" s="59"/>
      <c r="E10" s="59"/>
      <c r="F10" s="59"/>
      <c r="G10" s="44">
        <f>IF(AND(WEEKDAY(B10,2)&gt;5,$C10=""),"",IF(E10&gt;0,(E10*60+F10)-(C10*60+D10)-H10+TRUNC(Info!$D$10*(I10/100)),IF(MID(C10,1,2)="Fl",0,Info!AJ44))-Info!AJ44)</f>
        <v>0</v>
      </c>
      <c r="H10" s="185">
        <f>IF(AND(Info!$C$46&gt;0,$E10&gt;$C10),Info!$C$46,)</f>
        <v>0</v>
      </c>
      <c r="I10" s="185"/>
      <c r="J10" s="175" t="str">
        <f>Info!AJ10</f>
        <v/>
      </c>
      <c r="K10" s="323"/>
      <c r="L10" s="338"/>
      <c r="M10" s="327"/>
      <c r="P10" s="243"/>
      <c r="Q10" s="243"/>
      <c r="R10" s="243"/>
      <c r="S10" s="243"/>
      <c r="T10" s="243"/>
      <c r="U10" s="243"/>
      <c r="V10" s="243"/>
      <c r="W10" s="243"/>
      <c r="X10" s="243"/>
      <c r="Y10" s="243"/>
      <c r="Z10" s="243"/>
    </row>
    <row r="11" spans="1:26" s="11" customFormat="1" x14ac:dyDescent="0.2">
      <c r="A11" s="148" t="str">
        <f t="shared" si="0"/>
        <v/>
      </c>
      <c r="B11" s="68">
        <f t="shared" si="1"/>
        <v>41887</v>
      </c>
      <c r="C11" s="59"/>
      <c r="D11" s="59"/>
      <c r="E11" s="59"/>
      <c r="F11" s="59"/>
      <c r="G11" s="44">
        <f>IF(AND(WEEKDAY(B11,2)&gt;5,$C11=""),"",IF(E11&gt;0,(E11*60+F11)-(C11*60+D11)-H11+TRUNC(Info!$D$10*(I11/100)),IF(MID(C11,1,2)="Fl",0,Info!AJ45))-Info!AJ45)</f>
        <v>0</v>
      </c>
      <c r="H11" s="185">
        <f>IF(AND(Info!$C$46&gt;0,$E11&gt;$C11),Info!$C$46,)</f>
        <v>0</v>
      </c>
      <c r="I11" s="185"/>
      <c r="J11" s="175" t="str">
        <f>Info!AJ11</f>
        <v/>
      </c>
      <c r="K11" s="323"/>
      <c r="L11" s="338"/>
      <c r="M11" s="328"/>
      <c r="P11" s="243"/>
      <c r="Q11" s="243"/>
      <c r="R11" s="243"/>
      <c r="S11" s="243"/>
      <c r="T11" s="243"/>
      <c r="U11" s="243"/>
      <c r="V11" s="243"/>
      <c r="W11" s="243"/>
      <c r="X11" s="243"/>
      <c r="Y11" s="243"/>
      <c r="Z11" s="243"/>
    </row>
    <row r="12" spans="1:26" x14ac:dyDescent="0.2">
      <c r="A12" s="148" t="str">
        <f t="shared" si="0"/>
        <v/>
      </c>
      <c r="B12" s="68">
        <f t="shared" si="1"/>
        <v>41888</v>
      </c>
      <c r="C12" s="59"/>
      <c r="D12" s="59"/>
      <c r="E12" s="59"/>
      <c r="F12" s="59"/>
      <c r="G12" s="44" t="str">
        <f>IF(AND(WEEKDAY(B12,2)&gt;5,$C12=""),"",IF(E12&gt;0,(E12*60+F12)-(C12*60+D12)-H12+TRUNC(Info!$D$10*(I12/100)),IF(MID(C12,1,2)="Fl",0,Info!AJ46))-Info!AJ46)</f>
        <v/>
      </c>
      <c r="H12" s="185">
        <f>IF(AND(Info!$C$46&gt;0,$E12&gt;$C12),Info!$C$46,)</f>
        <v>0</v>
      </c>
      <c r="I12" s="185"/>
      <c r="J12" s="175" t="str">
        <f>Info!AJ12</f>
        <v/>
      </c>
      <c r="K12" s="323"/>
      <c r="L12" s="338"/>
      <c r="M12" s="140"/>
    </row>
    <row r="13" spans="1:26" s="11" customFormat="1" x14ac:dyDescent="0.2">
      <c r="A13" s="148" t="str">
        <f t="shared" si="0"/>
        <v/>
      </c>
      <c r="B13" s="68">
        <f t="shared" si="1"/>
        <v>41889</v>
      </c>
      <c r="C13" s="59"/>
      <c r="D13" s="59"/>
      <c r="E13" s="59"/>
      <c r="F13" s="59"/>
      <c r="G13" s="44" t="str">
        <f>IF(AND(WEEKDAY(B13,2)&gt;5,$C13=""),"",IF(E13&gt;0,(E13*60+F13)-(C13*60+D13)-H13+TRUNC(Info!$D$10*(I13/100)),IF(MID(C13,1,2)="Fl",0,Info!AJ47))-Info!AJ47)</f>
        <v/>
      </c>
      <c r="H13" s="185">
        <f>IF(AND(Info!$C$46&gt;0,$E13&gt;$C13),Info!$C$46,)</f>
        <v>0</v>
      </c>
      <c r="I13" s="185"/>
      <c r="J13" s="175" t="str">
        <f>Info!AJ13</f>
        <v/>
      </c>
      <c r="K13" s="323"/>
      <c r="L13" s="338"/>
      <c r="M13" s="327"/>
      <c r="P13" s="243"/>
      <c r="Q13" s="243"/>
      <c r="R13" s="243"/>
      <c r="S13" s="243"/>
      <c r="T13" s="243"/>
      <c r="U13" s="243"/>
      <c r="V13" s="243"/>
      <c r="W13" s="243"/>
      <c r="X13" s="243"/>
      <c r="Y13" s="243"/>
      <c r="Z13" s="243"/>
    </row>
    <row r="14" spans="1:26" s="11" customFormat="1" x14ac:dyDescent="0.2">
      <c r="A14" s="148">
        <f t="shared" si="0"/>
        <v>37</v>
      </c>
      <c r="B14" s="68">
        <f t="shared" si="1"/>
        <v>41890</v>
      </c>
      <c r="C14" s="59"/>
      <c r="D14" s="59"/>
      <c r="E14" s="59"/>
      <c r="F14" s="59"/>
      <c r="G14" s="44">
        <f>IF(AND(WEEKDAY(B14,2)&gt;5,$C14=""),"",IF(E14&gt;0,(E14*60+F14)-(C14*60+D14)-H14+TRUNC(Info!$D$10*(I14/100)),IF(MID(C14,1,2)="Fl",0,Info!AJ48))-Info!AJ48)</f>
        <v>0</v>
      </c>
      <c r="H14" s="185">
        <f>IF(AND(Info!$C$46&gt;0,$E14&gt;$C14),Info!$C$46,)</f>
        <v>0</v>
      </c>
      <c r="I14" s="185"/>
      <c r="J14" s="175" t="str">
        <f>Info!AJ14</f>
        <v/>
      </c>
      <c r="K14" s="323"/>
      <c r="L14" s="338"/>
      <c r="M14" s="327"/>
      <c r="P14" s="243"/>
      <c r="Q14" s="243"/>
      <c r="R14" s="243"/>
      <c r="S14" s="243"/>
      <c r="T14" s="243"/>
      <c r="U14" s="243"/>
      <c r="V14" s="243"/>
      <c r="W14" s="243"/>
      <c r="X14" s="243"/>
      <c r="Y14" s="243"/>
      <c r="Z14" s="243"/>
    </row>
    <row r="15" spans="1:26" s="11" customFormat="1" x14ac:dyDescent="0.2">
      <c r="A15" s="148" t="str">
        <f t="shared" si="0"/>
        <v/>
      </c>
      <c r="B15" s="68">
        <f t="shared" si="1"/>
        <v>41891</v>
      </c>
      <c r="C15" s="59"/>
      <c r="D15" s="59"/>
      <c r="E15" s="59"/>
      <c r="F15" s="59"/>
      <c r="G15" s="44">
        <f>IF(AND(WEEKDAY(B15,2)&gt;5,$C15=""),"",IF(E15&gt;0,(E15*60+F15)-(C15*60+D15)-H15+TRUNC(Info!$D$10*(I15/100)),IF(MID(C15,1,2)="Fl",0,Info!AJ49))-Info!AJ49)</f>
        <v>0</v>
      </c>
      <c r="H15" s="185">
        <f>IF(AND(Info!$C$46&gt;0,$E15&gt;$C15),Info!$C$46,)</f>
        <v>0</v>
      </c>
      <c r="I15" s="185"/>
      <c r="J15" s="175" t="str">
        <f>Info!AJ15</f>
        <v/>
      </c>
      <c r="K15" s="323"/>
      <c r="L15" s="338"/>
      <c r="M15" s="327"/>
      <c r="P15" s="243"/>
      <c r="Q15" s="243"/>
      <c r="R15" s="243"/>
      <c r="S15" s="243"/>
      <c r="T15" s="243"/>
      <c r="U15" s="243"/>
      <c r="V15" s="243"/>
      <c r="W15" s="243"/>
      <c r="X15" s="243"/>
      <c r="Y15" s="243"/>
      <c r="Z15" s="243"/>
    </row>
    <row r="16" spans="1:26" s="11" customFormat="1" x14ac:dyDescent="0.2">
      <c r="A16" s="148" t="str">
        <f t="shared" si="0"/>
        <v/>
      </c>
      <c r="B16" s="68">
        <f t="shared" si="1"/>
        <v>41892</v>
      </c>
      <c r="C16" s="59"/>
      <c r="D16" s="59"/>
      <c r="E16" s="59"/>
      <c r="F16" s="59"/>
      <c r="G16" s="44">
        <f>IF(AND(WEEKDAY(B16,2)&gt;5,$C16=""),"",IF(E16&gt;0,(E16*60+F16)-(C16*60+D16)-H16+TRUNC(Info!$D$10*(I16/100)),IF(MID(C16,1,2)="Fl",0,Info!AJ50))-Info!AJ50)</f>
        <v>0</v>
      </c>
      <c r="H16" s="185">
        <f>IF(AND(Info!$C$46&gt;0,$E16&gt;$C16),Info!$C$46,)</f>
        <v>0</v>
      </c>
      <c r="I16" s="185"/>
      <c r="J16" s="175" t="str">
        <f>Info!AJ16</f>
        <v/>
      </c>
      <c r="K16" s="323"/>
      <c r="L16" s="338"/>
      <c r="M16" s="327"/>
      <c r="P16" s="243"/>
      <c r="Q16" s="243"/>
      <c r="R16" s="243"/>
      <c r="S16" s="243"/>
      <c r="T16" s="243"/>
      <c r="U16" s="243"/>
      <c r="V16" s="243"/>
      <c r="W16" s="243"/>
      <c r="X16" s="243"/>
      <c r="Y16" s="243"/>
      <c r="Z16" s="243"/>
    </row>
    <row r="17" spans="1:26" s="11" customFormat="1" x14ac:dyDescent="0.2">
      <c r="A17" s="148" t="str">
        <f t="shared" si="0"/>
        <v/>
      </c>
      <c r="B17" s="68">
        <f t="shared" si="1"/>
        <v>41893</v>
      </c>
      <c r="C17" s="59"/>
      <c r="D17" s="59"/>
      <c r="E17" s="59"/>
      <c r="F17" s="59"/>
      <c r="G17" s="44">
        <f>IF(AND(WEEKDAY(B17,2)&gt;5,$C17=""),"",IF(E17&gt;0,(E17*60+F17)-(C17*60+D17)-H17+TRUNC(Info!$D$10*(I17/100)),IF(MID(C17,1,2)="Fl",0,Info!AJ51))-Info!AJ51)</f>
        <v>0</v>
      </c>
      <c r="H17" s="185">
        <f>IF(AND(Info!$C$46&gt;0,$E17&gt;$C17),Info!$C$46,)</f>
        <v>0</v>
      </c>
      <c r="I17" s="185"/>
      <c r="J17" s="175" t="str">
        <f>Info!AJ17</f>
        <v/>
      </c>
      <c r="K17" s="323"/>
      <c r="L17" s="338"/>
      <c r="M17" s="327"/>
      <c r="P17" s="243"/>
      <c r="Q17" s="243"/>
      <c r="R17" s="243"/>
      <c r="S17" s="243"/>
      <c r="T17" s="243"/>
      <c r="U17" s="243"/>
      <c r="V17" s="243"/>
      <c r="W17" s="243"/>
      <c r="X17" s="243"/>
      <c r="Y17" s="243"/>
      <c r="Z17" s="243"/>
    </row>
    <row r="18" spans="1:26" s="11" customFormat="1" x14ac:dyDescent="0.2">
      <c r="A18" s="148" t="str">
        <f t="shared" si="0"/>
        <v/>
      </c>
      <c r="B18" s="68">
        <f t="shared" si="1"/>
        <v>41894</v>
      </c>
      <c r="C18" s="59"/>
      <c r="D18" s="59"/>
      <c r="E18" s="59"/>
      <c r="F18" s="59"/>
      <c r="G18" s="44">
        <f>IF(AND(WEEKDAY(B18,2)&gt;5,$C18=""),"",IF(E18&gt;0,(E18*60+F18)-(C18*60+D18)-H18+TRUNC(Info!$D$10*(I18/100)),IF(MID(C18,1,2)="Fl",0,Info!AJ52))-Info!AJ52)</f>
        <v>0</v>
      </c>
      <c r="H18" s="185">
        <f>IF(AND(Info!$C$46&gt;0,$E18&gt;$C18),Info!$C$46,)</f>
        <v>0</v>
      </c>
      <c r="I18" s="185"/>
      <c r="J18" s="175" t="str">
        <f>Info!AJ18</f>
        <v/>
      </c>
      <c r="K18" s="323"/>
      <c r="L18" s="338"/>
      <c r="M18" s="327"/>
      <c r="P18" s="243"/>
      <c r="Q18" s="243"/>
      <c r="R18" s="243"/>
      <c r="S18" s="243"/>
      <c r="T18" s="243"/>
      <c r="U18" s="243"/>
      <c r="V18" s="243"/>
      <c r="W18" s="243"/>
      <c r="X18" s="243"/>
      <c r="Y18" s="243"/>
      <c r="Z18" s="243"/>
    </row>
    <row r="19" spans="1:26" s="11" customFormat="1" x14ac:dyDescent="0.2">
      <c r="A19" s="148" t="str">
        <f t="shared" si="0"/>
        <v/>
      </c>
      <c r="B19" s="68">
        <f t="shared" si="1"/>
        <v>41895</v>
      </c>
      <c r="C19" s="59"/>
      <c r="D19" s="59"/>
      <c r="E19" s="59"/>
      <c r="F19" s="59"/>
      <c r="G19" s="44" t="str">
        <f>IF(AND(WEEKDAY(B19,2)&gt;5,$C19=""),"",IF(E19&gt;0,(E19*60+F19)-(C19*60+D19)-H19+TRUNC(Info!$D$10*(I19/100)),IF(MID(C19,1,2)="Fl",0,Info!AJ53))-Info!AJ53)</f>
        <v/>
      </c>
      <c r="H19" s="185">
        <f>IF(AND(Info!$C$46&gt;0,$E19&gt;$C19),Info!$C$46,)</f>
        <v>0</v>
      </c>
      <c r="I19" s="185"/>
      <c r="J19" s="175" t="str">
        <f>Info!AJ19</f>
        <v>Dyrsku'n</v>
      </c>
      <c r="K19" s="323"/>
      <c r="L19" s="338"/>
      <c r="M19" s="327"/>
      <c r="P19" s="243"/>
      <c r="Q19" s="243"/>
      <c r="R19" s="243"/>
      <c r="S19" s="243"/>
      <c r="T19" s="243"/>
      <c r="U19" s="243"/>
      <c r="V19" s="243"/>
      <c r="W19" s="243"/>
      <c r="X19" s="243"/>
      <c r="Y19" s="243"/>
      <c r="Z19" s="243"/>
    </row>
    <row r="20" spans="1:26" s="11" customFormat="1" x14ac:dyDescent="0.2">
      <c r="A20" s="148" t="str">
        <f t="shared" si="0"/>
        <v/>
      </c>
      <c r="B20" s="68">
        <f t="shared" si="1"/>
        <v>41896</v>
      </c>
      <c r="C20" s="59"/>
      <c r="D20" s="59"/>
      <c r="E20" s="59"/>
      <c r="F20" s="59"/>
      <c r="G20" s="44" t="str">
        <f>IF(AND(WEEKDAY(B20,2)&gt;5,$C20=""),"",IF(E20&gt;0,(E20*60+F20)-(C20*60+D20)-H20+TRUNC(Info!$D$10*(I20/100)),IF(MID(C20,1,2)="Fl",0,Info!AJ54))-Info!AJ54)</f>
        <v/>
      </c>
      <c r="H20" s="185">
        <f>IF(AND(Info!$C$46&gt;0,$E20&gt;$C20),Info!$C$46,)</f>
        <v>0</v>
      </c>
      <c r="I20" s="185"/>
      <c r="J20" s="175" t="str">
        <f>Info!AJ20</f>
        <v/>
      </c>
      <c r="K20" s="323"/>
      <c r="L20" s="338"/>
      <c r="M20" s="327"/>
      <c r="P20" s="243"/>
      <c r="Q20" s="243"/>
      <c r="R20" s="243"/>
      <c r="S20" s="243"/>
      <c r="T20" s="243"/>
      <c r="U20" s="243"/>
      <c r="V20" s="243"/>
      <c r="W20" s="243"/>
      <c r="X20" s="243"/>
      <c r="Y20" s="243"/>
      <c r="Z20" s="243"/>
    </row>
    <row r="21" spans="1:26" s="11" customFormat="1" x14ac:dyDescent="0.2">
      <c r="A21" s="148">
        <f t="shared" si="0"/>
        <v>38</v>
      </c>
      <c r="B21" s="68">
        <f t="shared" si="1"/>
        <v>41897</v>
      </c>
      <c r="C21" s="59"/>
      <c r="D21" s="59"/>
      <c r="E21" s="59"/>
      <c r="F21" s="59"/>
      <c r="G21" s="44">
        <f>IF(AND(WEEKDAY(B21,2)&gt;5,$C21=""),"",IF(E21&gt;0,(E21*60+F21)-(C21*60+D21)-H21+TRUNC(Info!$D$10*(I21/100)),IF(MID(C21,1,2)="Fl",0,Info!AJ55))-Info!AJ55)</f>
        <v>0</v>
      </c>
      <c r="H21" s="185">
        <f>IF(AND(Info!$C$46&gt;0,$E21&gt;$C21),Info!$C$46,)</f>
        <v>0</v>
      </c>
      <c r="I21" s="185"/>
      <c r="J21" s="175" t="str">
        <f>Info!AJ21</f>
        <v/>
      </c>
      <c r="K21" s="323"/>
      <c r="L21" s="338"/>
      <c r="M21" s="327"/>
      <c r="P21" s="243"/>
      <c r="Q21" s="243"/>
      <c r="R21" s="243"/>
      <c r="S21" s="243"/>
      <c r="T21" s="243"/>
      <c r="U21" s="243"/>
      <c r="V21" s="243"/>
      <c r="W21" s="243"/>
      <c r="X21" s="243"/>
      <c r="Y21" s="243"/>
      <c r="Z21" s="243"/>
    </row>
    <row r="22" spans="1:26" s="11" customFormat="1" x14ac:dyDescent="0.2">
      <c r="A22" s="148" t="str">
        <f t="shared" si="0"/>
        <v/>
      </c>
      <c r="B22" s="68">
        <f t="shared" si="1"/>
        <v>41898</v>
      </c>
      <c r="C22" s="59"/>
      <c r="D22" s="59"/>
      <c r="E22" s="59"/>
      <c r="F22" s="59"/>
      <c r="G22" s="44">
        <f>IF(AND(WEEKDAY(B22,2)&gt;5,$C22=""),"",IF(E22&gt;0,(E22*60+F22)-(C22*60+D22)-H22+TRUNC(Info!$D$10*(I22/100)),IF(MID(C22,1,2)="Fl",0,Info!AJ56))-Info!AJ56)</f>
        <v>0</v>
      </c>
      <c r="H22" s="185">
        <f>IF(AND(Info!$C$46&gt;0,$E22&gt;$C22),Info!$C$46,)</f>
        <v>0</v>
      </c>
      <c r="I22" s="185"/>
      <c r="J22" s="175" t="str">
        <f>Info!AJ22</f>
        <v/>
      </c>
      <c r="K22" s="323"/>
      <c r="L22" s="338"/>
      <c r="M22" s="327"/>
      <c r="P22" s="243"/>
      <c r="Q22" s="243"/>
      <c r="R22" s="243"/>
      <c r="S22" s="243"/>
      <c r="T22" s="243"/>
      <c r="U22" s="243"/>
      <c r="V22" s="243"/>
      <c r="W22" s="243"/>
      <c r="X22" s="243"/>
      <c r="Y22" s="243"/>
      <c r="Z22" s="243"/>
    </row>
    <row r="23" spans="1:26" s="11" customFormat="1" x14ac:dyDescent="0.2">
      <c r="A23" s="148" t="str">
        <f t="shared" si="0"/>
        <v/>
      </c>
      <c r="B23" s="68">
        <f t="shared" si="1"/>
        <v>41899</v>
      </c>
      <c r="C23" s="59"/>
      <c r="D23" s="59"/>
      <c r="E23" s="59"/>
      <c r="F23" s="59"/>
      <c r="G23" s="44">
        <f>IF(AND(WEEKDAY(B23,2)&gt;5,$C23=""),"",IF(E23&gt;0,(E23*60+F23)-(C23*60+D23)-H23+TRUNC(Info!$D$10*(I23/100)),IF(MID(C23,1,2)="Fl",0,Info!AJ57))-Info!AJ57)</f>
        <v>0</v>
      </c>
      <c r="H23" s="185">
        <f>IF(AND(Info!$C$46&gt;0,$E23&gt;$C23),Info!$C$46,)</f>
        <v>0</v>
      </c>
      <c r="I23" s="185"/>
      <c r="J23" s="175" t="str">
        <f>Info!AJ23</f>
        <v/>
      </c>
      <c r="K23" s="323"/>
      <c r="L23" s="338"/>
      <c r="M23" s="327"/>
      <c r="P23" s="243"/>
      <c r="Q23" s="243"/>
      <c r="R23" s="243"/>
      <c r="S23" s="243"/>
      <c r="T23" s="243"/>
      <c r="U23" s="243"/>
      <c r="V23" s="243"/>
      <c r="W23" s="243"/>
      <c r="X23" s="243"/>
      <c r="Y23" s="243"/>
      <c r="Z23" s="243"/>
    </row>
    <row r="24" spans="1:26" s="11" customFormat="1" x14ac:dyDescent="0.2">
      <c r="A24" s="148" t="str">
        <f t="shared" si="0"/>
        <v/>
      </c>
      <c r="B24" s="68">
        <f t="shared" si="1"/>
        <v>41900</v>
      </c>
      <c r="C24" s="59"/>
      <c r="D24" s="59"/>
      <c r="E24" s="59"/>
      <c r="F24" s="59"/>
      <c r="G24" s="44">
        <f>IF(AND(WEEKDAY(B24,2)&gt;5,$C24=""),"",IF(E24&gt;0,(E24*60+F24)-(C24*60+D24)-H24+TRUNC(Info!$D$10*(I24/100)),IF(MID(C24,1,2)="Fl",0,Info!AJ58))-Info!AJ58)</f>
        <v>0</v>
      </c>
      <c r="H24" s="185">
        <f>IF(AND(Info!$C$46&gt;0,$E24&gt;$C24),Info!$C$46,)</f>
        <v>0</v>
      </c>
      <c r="I24" s="185"/>
      <c r="J24" s="175" t="str">
        <f>Info!AJ24</f>
        <v/>
      </c>
      <c r="K24" s="323"/>
      <c r="L24" s="338"/>
      <c r="M24" s="327"/>
      <c r="P24" s="243"/>
      <c r="Q24" s="243"/>
      <c r="R24" s="243"/>
      <c r="S24" s="243"/>
      <c r="T24" s="243"/>
      <c r="U24" s="243"/>
      <c r="V24" s="243"/>
      <c r="W24" s="243"/>
      <c r="X24" s="243"/>
      <c r="Y24" s="243"/>
      <c r="Z24" s="243"/>
    </row>
    <row r="25" spans="1:26" s="11" customFormat="1" x14ac:dyDescent="0.2">
      <c r="A25" s="148" t="str">
        <f t="shared" si="0"/>
        <v/>
      </c>
      <c r="B25" s="68">
        <f t="shared" si="1"/>
        <v>41901</v>
      </c>
      <c r="C25" s="59"/>
      <c r="D25" s="59"/>
      <c r="E25" s="59"/>
      <c r="F25" s="59"/>
      <c r="G25" s="44">
        <f>IF(AND(WEEKDAY(B25,2)&gt;5,$C25=""),"",IF(E25&gt;0,(E25*60+F25)-(C25*60+D25)-H25+TRUNC(Info!$D$10*(I25/100)),IF(MID(C25,1,2)="Fl",0,Info!AJ59))-Info!AJ59)</f>
        <v>0</v>
      </c>
      <c r="H25" s="185">
        <f>IF(AND(Info!$C$46&gt;0,$E25&gt;$C25),Info!$C$46,)</f>
        <v>0</v>
      </c>
      <c r="I25" s="185"/>
      <c r="J25" s="175" t="str">
        <f>Info!AJ25</f>
        <v/>
      </c>
      <c r="K25" s="323"/>
      <c r="L25" s="338"/>
      <c r="M25" s="327"/>
      <c r="P25" s="243"/>
      <c r="Q25" s="243"/>
      <c r="R25" s="243"/>
      <c r="S25" s="243"/>
      <c r="T25" s="243"/>
      <c r="U25" s="243"/>
      <c r="V25" s="243"/>
      <c r="W25" s="243"/>
      <c r="X25" s="243"/>
      <c r="Y25" s="243"/>
      <c r="Z25" s="243"/>
    </row>
    <row r="26" spans="1:26" s="11" customFormat="1" x14ac:dyDescent="0.2">
      <c r="A26" s="148" t="str">
        <f t="shared" si="0"/>
        <v/>
      </c>
      <c r="B26" s="68">
        <f t="shared" si="1"/>
        <v>41902</v>
      </c>
      <c r="C26" s="59"/>
      <c r="D26" s="59"/>
      <c r="E26" s="59"/>
      <c r="F26" s="59"/>
      <c r="G26" s="44" t="str">
        <f>IF(AND(WEEKDAY(B26,2)&gt;5,$C26=""),"",IF(E26&gt;0,(E26*60+F26)-(C26*60+D26)-H26+TRUNC(Info!$D$10*(I26/100)),IF(MID(C26,1,2)="Fl",0,Info!AJ60))-Info!AJ60)</f>
        <v/>
      </c>
      <c r="H26" s="185">
        <f>IF(AND(Info!$C$46&gt;0,$E26&gt;$C26),Info!$C$46,)</f>
        <v>0</v>
      </c>
      <c r="I26" s="185"/>
      <c r="J26" s="175" t="str">
        <f>Info!AJ26</f>
        <v/>
      </c>
      <c r="K26" s="323"/>
      <c r="L26" s="338"/>
      <c r="M26" s="327"/>
      <c r="P26" s="243"/>
      <c r="Q26" s="243"/>
      <c r="R26" s="243"/>
      <c r="S26" s="243"/>
      <c r="T26" s="243"/>
      <c r="U26" s="243"/>
      <c r="V26" s="243"/>
      <c r="W26" s="243"/>
      <c r="X26" s="243"/>
      <c r="Y26" s="243"/>
      <c r="Z26" s="243"/>
    </row>
    <row r="27" spans="1:26" s="11" customFormat="1" x14ac:dyDescent="0.2">
      <c r="A27" s="148" t="str">
        <f t="shared" si="0"/>
        <v/>
      </c>
      <c r="B27" s="68">
        <f t="shared" si="1"/>
        <v>41903</v>
      </c>
      <c r="C27" s="59"/>
      <c r="D27" s="59"/>
      <c r="E27" s="59"/>
      <c r="F27" s="59"/>
      <c r="G27" s="44" t="str">
        <f>IF(AND(WEEKDAY(B27,2)&gt;5,$C27=""),"",IF(E27&gt;0,(E27*60+F27)-(C27*60+D27)-H27+TRUNC(Info!$D$10*(I27/100)),IF(MID(C27,1,2)="Fl",0,Info!AJ61))-Info!AJ61)</f>
        <v/>
      </c>
      <c r="H27" s="185">
        <f>IF(AND(Info!$C$46&gt;0,$E27&gt;$C27),Info!$C$46,)</f>
        <v>0</v>
      </c>
      <c r="I27" s="185"/>
      <c r="J27" s="175" t="str">
        <f>Info!AJ27</f>
        <v/>
      </c>
      <c r="K27" s="323"/>
      <c r="L27" s="338"/>
      <c r="M27" s="327"/>
      <c r="P27" s="243"/>
      <c r="Q27" s="243"/>
      <c r="R27" s="243"/>
      <c r="S27" s="243"/>
      <c r="T27" s="243"/>
      <c r="U27" s="243"/>
      <c r="V27" s="243"/>
      <c r="W27" s="243"/>
      <c r="X27" s="243"/>
      <c r="Y27" s="243"/>
      <c r="Z27" s="243"/>
    </row>
    <row r="28" spans="1:26" s="11" customFormat="1" x14ac:dyDescent="0.2">
      <c r="A28" s="148">
        <f t="shared" si="0"/>
        <v>39</v>
      </c>
      <c r="B28" s="68">
        <f t="shared" si="1"/>
        <v>41904</v>
      </c>
      <c r="C28" s="59"/>
      <c r="D28" s="59"/>
      <c r="E28" s="59"/>
      <c r="F28" s="59"/>
      <c r="G28" s="44">
        <f>IF(AND(WEEKDAY(B28,2)&gt;5,$C28=""),"",IF(E28&gt;0,(E28*60+F28)-(C28*60+D28)-H28+TRUNC(Info!$D$10*(I28/100)),IF(MID(C28,1,2)="Fl",0,Info!AJ62))-Info!AJ62)</f>
        <v>0</v>
      </c>
      <c r="H28" s="185">
        <f>IF(AND(Info!$C$46&gt;0,$E28&gt;$C28),Info!$C$46,)</f>
        <v>0</v>
      </c>
      <c r="I28" s="185"/>
      <c r="J28" s="175" t="str">
        <f>Info!AJ28</f>
        <v/>
      </c>
      <c r="K28" s="323"/>
      <c r="L28" s="338"/>
      <c r="M28" s="327"/>
      <c r="P28" s="243"/>
      <c r="Q28" s="243"/>
      <c r="R28" s="243"/>
      <c r="S28" s="243"/>
      <c r="T28" s="243"/>
      <c r="U28" s="243"/>
      <c r="V28" s="243"/>
      <c r="W28" s="243"/>
      <c r="X28" s="243"/>
      <c r="Y28" s="243"/>
      <c r="Z28" s="243"/>
    </row>
    <row r="29" spans="1:26" s="11" customFormat="1" x14ac:dyDescent="0.2">
      <c r="A29" s="148" t="str">
        <f t="shared" si="0"/>
        <v/>
      </c>
      <c r="B29" s="68">
        <f t="shared" si="1"/>
        <v>41905</v>
      </c>
      <c r="C29" s="59"/>
      <c r="D29" s="59"/>
      <c r="E29" s="59"/>
      <c r="F29" s="59"/>
      <c r="G29" s="44">
        <f>IF(AND(WEEKDAY(B29,2)&gt;5,$C29=""),"",IF(E29&gt;0,(E29*60+F29)-(C29*60+D29)-H29+TRUNC(Info!$D$10*(I29/100)),IF(MID(C29,1,2)="Fl",0,Info!AJ63))-Info!AJ63)</f>
        <v>0</v>
      </c>
      <c r="H29" s="185">
        <f>IF(AND(Info!$C$46&gt;0,$E29&gt;$C29),Info!$C$46,)</f>
        <v>0</v>
      </c>
      <c r="I29" s="185"/>
      <c r="J29" s="175" t="str">
        <f>Info!AJ29</f>
        <v/>
      </c>
      <c r="K29" s="323"/>
      <c r="L29" s="338"/>
      <c r="M29" s="327"/>
      <c r="P29" s="243"/>
      <c r="Q29" s="243"/>
      <c r="R29" s="243"/>
      <c r="S29" s="243"/>
      <c r="T29" s="243"/>
      <c r="U29" s="243"/>
      <c r="V29" s="243"/>
      <c r="W29" s="243"/>
      <c r="X29" s="243"/>
      <c r="Y29" s="243"/>
      <c r="Z29" s="243"/>
    </row>
    <row r="30" spans="1:26" s="11" customFormat="1" x14ac:dyDescent="0.2">
      <c r="A30" s="148" t="str">
        <f t="shared" si="0"/>
        <v/>
      </c>
      <c r="B30" s="68">
        <f t="shared" si="1"/>
        <v>41906</v>
      </c>
      <c r="C30" s="59"/>
      <c r="D30" s="59"/>
      <c r="E30" s="59"/>
      <c r="F30" s="59"/>
      <c r="G30" s="44">
        <f>IF(AND(WEEKDAY(B30,2)&gt;5,$C30=""),"",IF(E30&gt;0,(E30*60+F30)-(C30*60+D30)-H30+TRUNC(Info!$D$10*(I30/100)),IF(MID(C30,1,2)="Fl",0,Info!AJ64))-Info!AJ64)</f>
        <v>0</v>
      </c>
      <c r="H30" s="185">
        <f>IF(AND(Info!$C$46&gt;0,$E30&gt;$C30),Info!$C$46,)</f>
        <v>0</v>
      </c>
      <c r="I30" s="185"/>
      <c r="J30" s="175" t="str">
        <f>Info!AJ30</f>
        <v/>
      </c>
      <c r="K30" s="323"/>
      <c r="L30" s="338"/>
      <c r="M30" s="327"/>
      <c r="P30" s="243"/>
      <c r="Q30" s="243"/>
      <c r="R30" s="243"/>
      <c r="S30" s="243"/>
      <c r="T30" s="243"/>
      <c r="U30" s="243"/>
      <c r="V30" s="243"/>
      <c r="W30" s="243"/>
      <c r="X30" s="243"/>
      <c r="Y30" s="243"/>
      <c r="Z30" s="243"/>
    </row>
    <row r="31" spans="1:26" s="11" customFormat="1" x14ac:dyDescent="0.2">
      <c r="A31" s="148" t="str">
        <f t="shared" si="0"/>
        <v/>
      </c>
      <c r="B31" s="68">
        <f t="shared" si="1"/>
        <v>41907</v>
      </c>
      <c r="C31" s="59"/>
      <c r="D31" s="59"/>
      <c r="E31" s="59"/>
      <c r="F31" s="59"/>
      <c r="G31" s="44">
        <f>IF(AND(WEEKDAY(B31,2)&gt;5,$C31=""),"",IF(E31&gt;0,(E31*60+F31)-(C31*60+D31)-H31+TRUNC(Info!$D$10*(I31/100)),IF(MID(C31,1,2)="Fl",0,Info!AJ65))-Info!AJ65)</f>
        <v>0</v>
      </c>
      <c r="H31" s="185">
        <f>IF(AND(Info!$C$46&gt;0,$E31&gt;$C31),Info!$C$46,)</f>
        <v>0</v>
      </c>
      <c r="I31" s="185"/>
      <c r="J31" s="175" t="str">
        <f>Info!AJ31</f>
        <v>Fårikålens dag (Norges nasjonalrett)</v>
      </c>
      <c r="K31" s="323"/>
      <c r="L31" s="338"/>
      <c r="M31" s="327"/>
      <c r="P31" s="243"/>
      <c r="Q31" s="243"/>
      <c r="R31" s="243"/>
      <c r="S31" s="243"/>
      <c r="T31" s="243"/>
      <c r="U31" s="243"/>
      <c r="V31" s="243"/>
      <c r="W31" s="243"/>
      <c r="X31" s="243"/>
      <c r="Y31" s="243"/>
      <c r="Z31" s="243"/>
    </row>
    <row r="32" spans="1:26" s="11" customFormat="1" x14ac:dyDescent="0.2">
      <c r="A32" s="148" t="str">
        <f t="shared" si="0"/>
        <v/>
      </c>
      <c r="B32" s="68">
        <f t="shared" si="1"/>
        <v>41908</v>
      </c>
      <c r="C32" s="59"/>
      <c r="D32" s="59"/>
      <c r="E32" s="59"/>
      <c r="F32" s="59"/>
      <c r="G32" s="44">
        <f>IF(AND(WEEKDAY(B32,2)&gt;5,$C32=""),"",IF(E32&gt;0,(E32*60+F32)-(C32*60+D32)-H32+TRUNC(Info!$D$10*(I32/100)),IF(MID(C32,1,2)="Fl",0,Info!AJ66))-Info!AJ66)</f>
        <v>0</v>
      </c>
      <c r="H32" s="185">
        <f>IF(AND(Info!$C$46&gt;0,$E32&gt;$C32),Info!$C$46,)</f>
        <v>0</v>
      </c>
      <c r="I32" s="185"/>
      <c r="J32" s="175" t="str">
        <f>Info!AJ32</f>
        <v/>
      </c>
      <c r="K32" s="323"/>
      <c r="L32" s="338"/>
      <c r="M32" s="327"/>
      <c r="P32" s="243"/>
      <c r="Q32" s="243"/>
      <c r="R32" s="243"/>
      <c r="S32" s="243"/>
      <c r="T32" s="243"/>
      <c r="U32" s="243"/>
      <c r="V32" s="243"/>
      <c r="W32" s="243"/>
      <c r="X32" s="243"/>
      <c r="Y32" s="243"/>
      <c r="Z32" s="243"/>
    </row>
    <row r="33" spans="1:26" s="11" customFormat="1" x14ac:dyDescent="0.2">
      <c r="A33" s="148" t="str">
        <f t="shared" si="0"/>
        <v/>
      </c>
      <c r="B33" s="68">
        <f t="shared" si="1"/>
        <v>41909</v>
      </c>
      <c r="C33" s="59"/>
      <c r="D33" s="59"/>
      <c r="E33" s="59"/>
      <c r="F33" s="59"/>
      <c r="G33" s="44" t="str">
        <f>IF(AND(WEEKDAY(B33,2)&gt;5,$C33=""),"",IF(E33&gt;0,(E33*60+F33)-(C33*60+D33)-H33+TRUNC(Info!$D$10*(I33/100)),IF(MID(C33,1,2)="Fl",0,Info!AJ67))-Info!AJ67)</f>
        <v/>
      </c>
      <c r="H33" s="185">
        <f>IF(AND(Info!$C$46&gt;0,$E33&gt;$C33),Info!$C$46,)</f>
        <v>0</v>
      </c>
      <c r="I33" s="185"/>
      <c r="J33" s="175" t="str">
        <f>Info!AJ33</f>
        <v/>
      </c>
      <c r="K33" s="323"/>
      <c r="L33" s="338"/>
      <c r="M33" s="327"/>
      <c r="P33" s="243"/>
      <c r="Q33" s="243"/>
      <c r="R33" s="243"/>
      <c r="S33" s="243"/>
      <c r="T33" s="243"/>
      <c r="U33" s="243"/>
      <c r="V33" s="243"/>
      <c r="W33" s="243"/>
      <c r="X33" s="243"/>
      <c r="Y33" s="243"/>
      <c r="Z33" s="243"/>
    </row>
    <row r="34" spans="1:26" s="11" customFormat="1" x14ac:dyDescent="0.2">
      <c r="A34" s="148" t="str">
        <f t="shared" si="0"/>
        <v/>
      </c>
      <c r="B34" s="68">
        <f t="shared" si="1"/>
        <v>41910</v>
      </c>
      <c r="C34" s="59"/>
      <c r="D34" s="59"/>
      <c r="E34" s="59"/>
      <c r="F34" s="59"/>
      <c r="G34" s="44" t="str">
        <f>IF(AND(WEEKDAY(B34,2)&gt;5,$C34=""),"",IF(E34&gt;0,(E34*60+F34)-(C34*60+D34)-H34+TRUNC(Info!$D$10*(I34/100)),IF(MID(C34,1,2)="Fl",0,Info!AJ68))-Info!AJ68)</f>
        <v/>
      </c>
      <c r="H34" s="185">
        <f>IF(AND(Info!$C$46&gt;0,$E34&gt;$C34),Info!$C$46,)</f>
        <v>0</v>
      </c>
      <c r="I34" s="185"/>
      <c r="J34" s="175" t="str">
        <f>Info!AJ34</f>
        <v/>
      </c>
      <c r="K34" s="323"/>
      <c r="L34" s="338"/>
      <c r="M34" s="327"/>
      <c r="P34" s="243"/>
      <c r="Q34" s="243"/>
      <c r="R34" s="243"/>
      <c r="S34" s="243"/>
      <c r="T34" s="243"/>
      <c r="U34" s="243"/>
      <c r="V34" s="243"/>
      <c r="W34" s="243"/>
      <c r="X34" s="243"/>
      <c r="Y34" s="243"/>
      <c r="Z34" s="243"/>
    </row>
    <row r="35" spans="1:26" s="11" customFormat="1" x14ac:dyDescent="0.2">
      <c r="A35" s="148">
        <f t="shared" si="0"/>
        <v>40</v>
      </c>
      <c r="B35" s="68">
        <f t="shared" si="1"/>
        <v>41911</v>
      </c>
      <c r="C35" s="59"/>
      <c r="D35" s="59"/>
      <c r="E35" s="59"/>
      <c r="F35" s="59"/>
      <c r="G35" s="44">
        <f>IF(AND(WEEKDAY(B35,2)&gt;5,$C35=""),"",IF(E35&gt;0,(E35*60+F35)-(C35*60+D35)-H35+TRUNC(Info!$D$10*(I35/100)),IF(MID(C35,1,2)="Fl",0,Info!AJ69))-Info!AJ69)</f>
        <v>0</v>
      </c>
      <c r="H35" s="185">
        <f>IF(AND(Info!$C$46&gt;0,$E35&gt;$C35),Info!$C$46,)</f>
        <v>0</v>
      </c>
      <c r="I35" s="185"/>
      <c r="J35" s="175" t="str">
        <f>Info!AJ35</f>
        <v/>
      </c>
      <c r="K35" s="323"/>
      <c r="L35" s="338"/>
      <c r="M35" s="327"/>
      <c r="P35" s="243"/>
      <c r="Q35" s="243"/>
      <c r="R35" s="243"/>
      <c r="S35" s="243"/>
      <c r="T35" s="243"/>
      <c r="U35" s="243"/>
      <c r="V35" s="243"/>
      <c r="W35" s="243"/>
      <c r="X35" s="243"/>
      <c r="Y35" s="243"/>
      <c r="Z35" s="243"/>
    </row>
    <row r="36" spans="1:26" s="11" customFormat="1" ht="13.5" thickBot="1" x14ac:dyDescent="0.25">
      <c r="A36" s="148" t="str">
        <f t="shared" si="0"/>
        <v/>
      </c>
      <c r="B36" s="69">
        <f t="shared" si="1"/>
        <v>41912</v>
      </c>
      <c r="C36" s="60"/>
      <c r="D36" s="60"/>
      <c r="E36" s="60"/>
      <c r="F36" s="60"/>
      <c r="G36" s="52">
        <f>IF(AND(WEEKDAY(B36,2)&gt;5,$C36=""),"",IF(E36&gt;0,(E36*60+F36)-(C36*60+D36)-H36+TRUNC(Info!$D$10*(I36/100)),IF(MID(C36,1,2)="Fl",0,Info!AJ70))-Info!AJ70)</f>
        <v>0</v>
      </c>
      <c r="H36" s="186">
        <f>IF(AND(Info!$C$46&gt;0,$E36&gt;$C36),Info!$C$46,)</f>
        <v>0</v>
      </c>
      <c r="I36" s="186"/>
      <c r="J36" s="176" t="str">
        <f>Info!AJ36</f>
        <v/>
      </c>
      <c r="K36" s="323"/>
      <c r="L36" s="338"/>
      <c r="M36" s="327"/>
      <c r="P36" s="243"/>
      <c r="Q36" s="243"/>
      <c r="R36" s="243"/>
      <c r="S36" s="243"/>
      <c r="T36" s="243"/>
      <c r="U36" s="243"/>
      <c r="V36" s="243"/>
      <c r="W36" s="243"/>
      <c r="X36" s="243"/>
      <c r="Y36" s="243"/>
      <c r="Z36" s="243"/>
    </row>
    <row r="37" spans="1:26" x14ac:dyDescent="0.2">
      <c r="G37" s="45"/>
      <c r="H37" s="12"/>
      <c r="I37" s="12"/>
      <c r="K37" s="313">
        <f>SUM(K7:K36)</f>
        <v>0</v>
      </c>
      <c r="L37" s="313">
        <f>SUM(L6:L36)</f>
        <v>0</v>
      </c>
      <c r="M37" s="327"/>
      <c r="N37" s="337">
        <f>SUM(Aug!$K$27:'Aug'!$K37)+SUM($K$7:$K$26)</f>
        <v>0</v>
      </c>
    </row>
    <row r="38" spans="1:26" x14ac:dyDescent="0.2">
      <c r="K38" s="342" t="str">
        <f>ROUNDDOWN(K37/60,1)&amp;" t"</f>
        <v>0 t</v>
      </c>
      <c r="L38" s="96" t="s">
        <v>217</v>
      </c>
      <c r="M38" s="327"/>
      <c r="N38" s="330" t="str">
        <f>ROUNDDOWN(N37/60,1)&amp;" t  i perioden 21."&amp;TEXT(B7-1,"m")&amp;"-20."&amp;TEXT(B7,"m")</f>
        <v>0 t  i perioden 21.8-20.9</v>
      </c>
    </row>
    <row r="39" spans="1:26" x14ac:dyDescent="0.2">
      <c r="B39" s="454" t="s">
        <v>141</v>
      </c>
      <c r="C39" s="455"/>
      <c r="D39" s="455"/>
      <c r="E39" s="456"/>
      <c r="F39" s="208" t="s">
        <v>48</v>
      </c>
      <c r="G39" s="209" t="s">
        <v>49</v>
      </c>
      <c r="H39" s="482" t="s">
        <v>50</v>
      </c>
      <c r="I39" s="460"/>
      <c r="J39" s="14" t="s">
        <v>19</v>
      </c>
      <c r="K39" s="92"/>
      <c r="L39" s="92"/>
    </row>
    <row r="40" spans="1:26" x14ac:dyDescent="0.2">
      <c r="B40" s="191" t="str">
        <f>J$2&amp;":"</f>
        <v>September:</v>
      </c>
      <c r="C40" s="1"/>
      <c r="D40" s="1"/>
      <c r="E40" s="40">
        <f>SUM(G$7:G$37)</f>
        <v>0</v>
      </c>
      <c r="F40" s="38">
        <f>TRUNC(E40/60,)</f>
        <v>0</v>
      </c>
      <c r="G40" s="50">
        <f>((E40/60)-F40)*60</f>
        <v>0</v>
      </c>
      <c r="H40" s="471"/>
      <c r="I40" s="472"/>
      <c r="J40" s="15" t="s">
        <v>145</v>
      </c>
      <c r="K40" s="92"/>
      <c r="L40" s="92"/>
    </row>
    <row r="41" spans="1:26" x14ac:dyDescent="0.2">
      <c r="B41" s="192" t="str">
        <f>"Fra "&amp;TEXT(($B$7-1),"mmmm")&amp;":"</f>
        <v>Fra august:</v>
      </c>
      <c r="C41" s="1"/>
      <c r="D41" s="1"/>
      <c r="E41" s="40">
        <f>Aug!$E$43</f>
        <v>0</v>
      </c>
      <c r="F41" s="39">
        <f>TRUNC(E41/60,)</f>
        <v>0</v>
      </c>
      <c r="G41" s="51">
        <f>((E41/60)-F41)*60</f>
        <v>0</v>
      </c>
      <c r="H41" s="473"/>
      <c r="I41" s="474"/>
      <c r="J41" s="15" t="s">
        <v>146</v>
      </c>
      <c r="K41" s="92"/>
      <c r="L41" s="92"/>
    </row>
    <row r="42" spans="1:26" x14ac:dyDescent="0.2">
      <c r="B42" s="210" t="s">
        <v>142</v>
      </c>
      <c r="C42" s="1"/>
      <c r="D42" s="1"/>
      <c r="E42" s="193">
        <f>E40+E41</f>
        <v>0</v>
      </c>
      <c r="F42" s="80">
        <f>TRUNC(E42/60,)</f>
        <v>0</v>
      </c>
      <c r="G42" s="81">
        <f>((E42/60)-F42)*60</f>
        <v>0</v>
      </c>
      <c r="H42" s="457">
        <f>E42/Info!$D$10</f>
        <v>0</v>
      </c>
      <c r="I42" s="451"/>
      <c r="J42" s="213" t="s">
        <v>147</v>
      </c>
      <c r="K42" s="92"/>
      <c r="L42" s="92"/>
    </row>
    <row r="43" spans="1:26" x14ac:dyDescent="0.2">
      <c r="B43" s="454" t="s">
        <v>133</v>
      </c>
      <c r="C43" s="455"/>
      <c r="D43" s="455"/>
      <c r="E43" s="456"/>
      <c r="F43" s="1"/>
      <c r="G43" s="46"/>
      <c r="H43" s="461">
        <f>IF(Info!$C$47="Ja",E42/Info!$D$11,)</f>
        <v>0</v>
      </c>
      <c r="I43" s="461"/>
      <c r="J43" s="17" t="s">
        <v>40</v>
      </c>
      <c r="K43" s="92"/>
      <c r="L43" s="92"/>
    </row>
    <row r="44" spans="1:26" x14ac:dyDescent="0.2">
      <c r="B44" s="191" t="str">
        <f>J$2&amp;":"</f>
        <v>September:</v>
      </c>
      <c r="C44" s="194"/>
      <c r="D44" s="195"/>
      <c r="E44" s="196">
        <f>COUNTIF(C$7:C$37,"Fe*")</f>
        <v>0</v>
      </c>
      <c r="G44" s="47"/>
      <c r="H44" s="18"/>
      <c r="I44" s="18"/>
      <c r="J44" s="25"/>
      <c r="K44" s="92"/>
      <c r="L44" s="92"/>
    </row>
    <row r="45" spans="1:26" x14ac:dyDescent="0.2">
      <c r="B45" s="192" t="s">
        <v>143</v>
      </c>
      <c r="C45" s="7"/>
      <c r="D45" s="7"/>
      <c r="E45" s="197">
        <f>Aug!$E$47</f>
        <v>0</v>
      </c>
      <c r="F45" s="10"/>
      <c r="G45" s="48"/>
      <c r="H45" s="19"/>
      <c r="I45" s="19"/>
      <c r="J45" s="26"/>
      <c r="K45" s="92"/>
      <c r="L45" s="92"/>
    </row>
    <row r="46" spans="1:26" x14ac:dyDescent="0.2">
      <c r="B46" s="211" t="s">
        <v>44</v>
      </c>
      <c r="C46" s="198"/>
      <c r="D46" s="198"/>
      <c r="E46" s="199">
        <f>E45-E44</f>
        <v>0</v>
      </c>
      <c r="F46" s="2"/>
      <c r="G46" s="48"/>
      <c r="H46" s="19"/>
      <c r="I46" s="19"/>
      <c r="J46" s="26"/>
      <c r="K46" s="92"/>
      <c r="L46" s="92"/>
    </row>
    <row r="47" spans="1:26" x14ac:dyDescent="0.2">
      <c r="B47" s="454" t="s">
        <v>140</v>
      </c>
      <c r="C47" s="455"/>
      <c r="D47" s="455"/>
      <c r="E47" s="456"/>
      <c r="F47" s="454" t="s">
        <v>87</v>
      </c>
      <c r="G47" s="458"/>
      <c r="H47" s="459"/>
      <c r="I47" s="460"/>
      <c r="K47" s="92"/>
      <c r="L47" s="92"/>
    </row>
    <row r="48" spans="1:26" x14ac:dyDescent="0.2">
      <c r="B48" s="191" t="str">
        <f>J$2&amp;":"</f>
        <v>September:</v>
      </c>
      <c r="C48" s="195"/>
      <c r="D48" s="195"/>
      <c r="E48" s="200">
        <f>COUNTIF(C$7:C$37,"S*")</f>
        <v>0</v>
      </c>
      <c r="F48" s="464" t="str">
        <f>IF(E48&gt;0,"- av disse","")</f>
        <v/>
      </c>
      <c r="G48" s="465"/>
      <c r="H48" s="466" t="str">
        <f>IF(E48&gt;0,E48-COUNTIF(C$7:C$37,"s*m*"),"")</f>
        <v/>
      </c>
      <c r="I48" s="467"/>
      <c r="K48" s="92"/>
      <c r="L48" s="92"/>
    </row>
    <row r="49" spans="2:12" x14ac:dyDescent="0.2">
      <c r="B49" s="211" t="str">
        <f>J$1&amp;":"</f>
        <v>2014:</v>
      </c>
      <c r="C49" s="198"/>
      <c r="D49" s="198"/>
      <c r="E49" s="201">
        <f>Aug!$E$50+E48</f>
        <v>0</v>
      </c>
      <c r="F49" s="452" t="s">
        <v>148</v>
      </c>
      <c r="G49" s="453"/>
      <c r="H49" s="450">
        <f>SUM(Info!$I$13:'Info'!$I$15)+SUM(Info!$J$4:'Info'!$J$11)+E48-COUNTIF(C$7:C$37,"s*m*")</f>
        <v>0</v>
      </c>
      <c r="I49" s="483"/>
      <c r="K49" s="92"/>
      <c r="L49" s="92"/>
    </row>
    <row r="50" spans="2:12" x14ac:dyDescent="0.2">
      <c r="B50" s="454" t="s">
        <v>144</v>
      </c>
      <c r="C50" s="455"/>
      <c r="D50" s="455"/>
      <c r="E50" s="456"/>
      <c r="K50" s="92"/>
      <c r="L50" s="92"/>
    </row>
    <row r="51" spans="2:12" x14ac:dyDescent="0.2">
      <c r="B51" s="202" t="str">
        <f>"Sykt barn/-passer i "&amp;LOWER(J$2)&amp;":"</f>
        <v>Sykt barn/-passer i september:</v>
      </c>
      <c r="C51" s="28"/>
      <c r="D51" s="203"/>
      <c r="E51" s="204">
        <f>COUNTIF(C$7:C$37,"P*b*")</f>
        <v>0</v>
      </c>
      <c r="F51" s="1"/>
      <c r="G51" s="49"/>
      <c r="H51" s="19"/>
      <c r="I51" s="19"/>
      <c r="K51" s="92"/>
      <c r="L51" s="92"/>
    </row>
    <row r="52" spans="2:12" x14ac:dyDescent="0.2">
      <c r="B52" s="205" t="str">
        <f>"Velferdspermisjon i "&amp;LOWER(J$2)&amp;":"</f>
        <v>Velferdspermisjon i september:</v>
      </c>
      <c r="C52" s="1"/>
      <c r="D52" s="1"/>
      <c r="E52" s="206">
        <f>COUNTIF(C$7:C$37,"P*v*")</f>
        <v>0</v>
      </c>
      <c r="K52" s="92"/>
      <c r="L52" s="92"/>
    </row>
    <row r="53" spans="2:12" x14ac:dyDescent="0.2">
      <c r="B53" s="205" t="str">
        <f>"Annen permisjon i "&amp;LOWER(J$2)&amp;":"</f>
        <v>Annen permisjon i september:</v>
      </c>
      <c r="C53" s="1"/>
      <c r="D53" s="1"/>
      <c r="E53" s="206">
        <f>COUNTIF(C$7:C$37,"P*a*")</f>
        <v>0</v>
      </c>
      <c r="J53" s="429"/>
      <c r="K53" s="92"/>
      <c r="L53" s="92"/>
    </row>
    <row r="54" spans="2:12" x14ac:dyDescent="0.2">
      <c r="B54" s="212" t="str">
        <f>J$1&amp;":"</f>
        <v>2014:</v>
      </c>
      <c r="C54" s="31"/>
      <c r="D54" s="31"/>
      <c r="E54" s="207">
        <f>Aug!$E$55+SUM(E51:E53)</f>
        <v>0</v>
      </c>
      <c r="J54" s="314" t="s">
        <v>233</v>
      </c>
      <c r="K54" s="92"/>
      <c r="L54" s="92"/>
    </row>
    <row r="55" spans="2:12" x14ac:dyDescent="0.2">
      <c r="K55" s="92"/>
      <c r="L55" s="92"/>
    </row>
  </sheetData>
  <sheetProtection selectLockedCells="1"/>
  <mergeCells count="16">
    <mergeCell ref="K5:L5"/>
    <mergeCell ref="F48:G48"/>
    <mergeCell ref="F49:G49"/>
    <mergeCell ref="B50:E50"/>
    <mergeCell ref="B39:E39"/>
    <mergeCell ref="B43:E43"/>
    <mergeCell ref="B47:E47"/>
    <mergeCell ref="F47:I47"/>
    <mergeCell ref="H48:I48"/>
    <mergeCell ref="H49:I49"/>
    <mergeCell ref="H42:I42"/>
    <mergeCell ref="H43:I43"/>
    <mergeCell ref="H5:I5"/>
    <mergeCell ref="H39:I39"/>
    <mergeCell ref="H40:I40"/>
    <mergeCell ref="H41:I41"/>
  </mergeCells>
  <phoneticPr fontId="0" type="noConversion"/>
  <conditionalFormatting sqref="G7:G36">
    <cfRule type="expression" dxfId="95" priority="1" stopIfTrue="1">
      <formula>WEEKDAY($B7,2)&gt;5</formula>
    </cfRule>
  </conditionalFormatting>
  <conditionalFormatting sqref="A7">
    <cfRule type="expression" dxfId="94" priority="2" stopIfTrue="1">
      <formula>AND((TODAY()-WEEKDAY(TODAY(),2)+7)&gt;=B7,(TODAY()-WEEKDAY(TODAY(),2)&lt;B7))</formula>
    </cfRule>
  </conditionalFormatting>
  <conditionalFormatting sqref="A8:A36">
    <cfRule type="expression" dxfId="93" priority="3" stopIfTrue="1">
      <formula>(TODAY()-WEEKDAY(TODAY(),2)+1)=B8</formula>
    </cfRule>
  </conditionalFormatting>
  <conditionalFormatting sqref="C7:F36 H7:I36">
    <cfRule type="expression" dxfId="92" priority="4" stopIfTrue="1">
      <formula>$B7=TODAY()</formula>
    </cfRule>
    <cfRule type="expression" dxfId="91" priority="5" stopIfTrue="1">
      <formula>WEEKDAY($B7,2)&gt;5</formula>
    </cfRule>
  </conditionalFormatting>
  <conditionalFormatting sqref="B7:B36">
    <cfRule type="expression" dxfId="90" priority="6" stopIfTrue="1">
      <formula>AND(B7=TODAY(),OR(WEEKDAY(B7,2)&gt;5,LEFT($A7,1)=" "))</formula>
    </cfRule>
    <cfRule type="expression" dxfId="89" priority="7" stopIfTrue="1">
      <formula>B7=TODAY()</formula>
    </cfRule>
    <cfRule type="expression" dxfId="88" priority="8" stopIfTrue="1">
      <formula>OR(WEEKDAY($B7,2)&gt;5,LEFT($A7,1)=" ")</formula>
    </cfRule>
  </conditionalFormatting>
  <conditionalFormatting sqref="J7:J36">
    <cfRule type="expression" dxfId="87" priority="9" stopIfTrue="1">
      <formula>$B7=TODAY()</formula>
    </cfRule>
    <cfRule type="expression" dxfId="86" priority="10" stopIfTrue="1">
      <formula>WEEKDAY($B7,2)&gt;5</formula>
    </cfRule>
  </conditionalFormatting>
  <conditionalFormatting sqref="G6">
    <cfRule type="expression" dxfId="85" priority="11" stopIfTrue="1">
      <formula>AND(H42&gt;-0.99,H42&lt;-0.01)</formula>
    </cfRule>
    <cfRule type="expression" dxfId="84" priority="12" stopIfTrue="1">
      <formula>H42&lt;=-2</formula>
    </cfRule>
    <cfRule type="expression" dxfId="83" priority="13" stopIfTrue="1">
      <formula>AND(H42&gt;-1.99,H42&lt;-1)</formula>
    </cfRule>
  </conditionalFormatting>
  <conditionalFormatting sqref="N2:N6">
    <cfRule type="expression" dxfId="82" priority="31" stopIfTrue="1">
      <formula>MONTH($B$7)=MONTH(TODAY())</formula>
    </cfRule>
  </conditionalFormatting>
  <conditionalFormatting sqref="H49:I49">
    <cfRule type="cellIs" dxfId="81" priority="14" stopIfTrue="1" operator="greaterThan">
      <formula>22</formula>
    </cfRule>
  </conditionalFormatting>
  <conditionalFormatting sqref="H42">
    <cfRule type="cellIs" dxfId="80" priority="15" stopIfTrue="1" operator="between">
      <formula>-0.4</formula>
      <formula>-0.9999999</formula>
    </cfRule>
    <cfRule type="cellIs" dxfId="79" priority="16" stopIfTrue="1" operator="lessThanOrEqual">
      <formula>-2</formula>
    </cfRule>
    <cfRule type="cellIs" dxfId="78" priority="17" stopIfTrue="1" operator="between">
      <formula>-1</formula>
      <formula>-1.99999999</formula>
    </cfRule>
  </conditionalFormatting>
  <conditionalFormatting sqref="K38">
    <cfRule type="expression" dxfId="77" priority="36" stopIfTrue="1">
      <formula>K37&lt;=0</formula>
    </cfRule>
  </conditionalFormatting>
  <conditionalFormatting sqref="L38">
    <cfRule type="expression" dxfId="76" priority="37" stopIfTrue="1">
      <formula>OR(K37&lt;=0,N37&lt;=0)</formula>
    </cfRule>
  </conditionalFormatting>
  <conditionalFormatting sqref="K37:L37">
    <cfRule type="cellIs" dxfId="75" priority="38" stopIfTrue="1" operator="lessThanOrEqual">
      <formula>0</formula>
    </cfRule>
  </conditionalFormatting>
  <conditionalFormatting sqref="K7:L36">
    <cfRule type="expression" dxfId="74" priority="39" stopIfTrue="1">
      <formula>$B7=TODAY()</formula>
    </cfRule>
    <cfRule type="expression" dxfId="73" priority="40" stopIfTrue="1">
      <formula>WEEKDAY($B7,2)&gt;5</formula>
    </cfRule>
  </conditionalFormatting>
  <conditionalFormatting sqref="N38">
    <cfRule type="expression" dxfId="72" priority="41" stopIfTrue="1">
      <formula>N37&lt;=0</formula>
    </cfRule>
  </conditionalFormatting>
  <pageMargins left="0.78740157480314965" right="0.19685039370078741" top="0.78740157480314965" bottom="0.98425196850393704" header="0.51181102362204722" footer="0.51181102362204722"/>
  <pageSetup paperSize="9" orientation="portrait" r:id="rId1"/>
  <headerFooter alignWithMargins="0">
    <oddFooter>&amp;R&amp;7ghe&amp;G 2011</oddFooter>
  </headerFooter>
  <ignoredErrors>
    <ignoredError sqref="J7:J36 H7:H36" unlockedFormula="1"/>
  </ignoredErrors>
  <drawing r:id="rId2"/>
  <legacyDrawing r:id="rId3"/>
  <legacyDrawingHF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2" enableFormatConditionsCalculation="0">
    <tabColor indexed="47"/>
  </sheetPr>
  <dimension ref="A1:Z55"/>
  <sheetViews>
    <sheetView showGridLines="0" workbookViewId="0">
      <pane ySplit="6" topLeftCell="A7" activePane="bottomLeft" state="frozenSplit"/>
      <selection pane="bottomLeft" activeCell="C7" sqref="C7"/>
    </sheetView>
  </sheetViews>
  <sheetFormatPr baseColWidth="10" defaultColWidth="9.140625" defaultRowHeight="12.75" x14ac:dyDescent="0.2"/>
  <cols>
    <col min="1" max="1" width="3" style="149" customWidth="1"/>
    <col min="2" max="2" width="7.5703125" customWidth="1"/>
    <col min="3" max="5" width="9.140625" customWidth="1"/>
    <col min="6" max="6" width="8.5703125" customWidth="1"/>
    <col min="7" max="7" width="7.140625" style="41" customWidth="1"/>
    <col min="8" max="8" width="5" style="8" customWidth="1"/>
    <col min="9" max="9" width="3.42578125" style="8" customWidth="1"/>
    <col min="10" max="10" width="31.42578125" style="10" customWidth="1"/>
    <col min="11" max="12" width="4.7109375" customWidth="1"/>
    <col min="13" max="13" width="1.85546875" style="92" customWidth="1"/>
    <col min="14" max="14" width="20.28515625" customWidth="1"/>
    <col min="15" max="15" width="1.85546875" customWidth="1"/>
    <col min="16" max="16" width="8.5703125" style="244" customWidth="1"/>
    <col min="17" max="26" width="9.140625" style="244"/>
  </cols>
  <sheetData>
    <row r="1" spans="1:26" s="92" customFormat="1" x14ac:dyDescent="0.2">
      <c r="A1" s="133"/>
      <c r="G1" s="347"/>
      <c r="H1" s="348"/>
      <c r="I1" s="348"/>
      <c r="J1" s="349">
        <f>Info!$E$1</f>
        <v>2014</v>
      </c>
    </row>
    <row r="2" spans="1:26" s="92" customFormat="1" ht="23.25" x14ac:dyDescent="0.35">
      <c r="A2" s="350"/>
      <c r="B2" s="374"/>
      <c r="C2" s="374"/>
      <c r="D2" s="375"/>
      <c r="E2" s="375"/>
      <c r="F2" s="376" t="str">
        <f>Info!C41</f>
        <v>Fleksitid</v>
      </c>
      <c r="G2" s="377"/>
      <c r="H2" s="378"/>
      <c r="I2" s="378"/>
      <c r="J2" s="379" t="s">
        <v>7</v>
      </c>
      <c r="N2" s="325"/>
    </row>
    <row r="3" spans="1:26" s="92" customFormat="1" ht="17.25" customHeight="1" x14ac:dyDescent="0.2">
      <c r="A3" s="133"/>
      <c r="B3" s="356"/>
      <c r="C3" s="357"/>
      <c r="D3" s="358"/>
      <c r="E3" s="359"/>
      <c r="F3" s="360">
        <f>Info!$C$5</f>
        <v>0</v>
      </c>
      <c r="G3" s="361"/>
      <c r="H3" s="362"/>
      <c r="I3" s="362"/>
      <c r="J3" s="314"/>
      <c r="N3" s="325"/>
    </row>
    <row r="4" spans="1:26" s="92" customFormat="1" ht="15" customHeight="1" thickBot="1" x14ac:dyDescent="0.25">
      <c r="A4" s="133"/>
      <c r="B4" s="363"/>
      <c r="C4" s="364"/>
      <c r="D4" s="365"/>
      <c r="E4" s="366"/>
      <c r="F4" s="367">
        <f>Info!$C$6</f>
        <v>0</v>
      </c>
      <c r="G4" s="368"/>
      <c r="H4" s="366"/>
      <c r="I4" s="366"/>
      <c r="J4" s="365"/>
      <c r="N4" s="325"/>
    </row>
    <row r="5" spans="1:26" x14ac:dyDescent="0.2">
      <c r="B5" s="3"/>
      <c r="C5" s="4" t="s">
        <v>0</v>
      </c>
      <c r="D5" s="4"/>
      <c r="E5" s="4" t="s">
        <v>1</v>
      </c>
      <c r="F5" s="4"/>
      <c r="G5" s="42"/>
      <c r="H5" s="468" t="s">
        <v>208</v>
      </c>
      <c r="I5" s="469"/>
      <c r="J5" s="9" t="s">
        <v>6</v>
      </c>
      <c r="K5" s="462" t="s">
        <v>216</v>
      </c>
      <c r="L5" s="463"/>
      <c r="M5" s="326"/>
      <c r="N5" s="11"/>
    </row>
    <row r="6" spans="1:26" ht="13.5" thickBot="1" x14ac:dyDescent="0.25">
      <c r="B6" s="5" t="s">
        <v>2</v>
      </c>
      <c r="C6" s="6" t="s">
        <v>3</v>
      </c>
      <c r="D6" s="6" t="s">
        <v>4</v>
      </c>
      <c r="E6" s="6" t="s">
        <v>3</v>
      </c>
      <c r="F6" s="6" t="s">
        <v>4</v>
      </c>
      <c r="G6" s="188" t="s">
        <v>139</v>
      </c>
      <c r="H6" s="6" t="s">
        <v>4</v>
      </c>
      <c r="I6" s="308" t="s">
        <v>207</v>
      </c>
      <c r="J6" s="172" t="str">
        <f>"Fleksi"&amp;IF(E43&lt;Info!D10,"tid: "&amp;IF(E43&lt;0,"-","")&amp;ABS(F43)&amp;":"&amp;ABS(ROUND(G43,)),"dager: "&amp;ROUND(H$43,1))&amp;"   Ferie: "&amp;E$47</f>
        <v>Fleksitid: 0:0   Ferie: 0</v>
      </c>
      <c r="K6" s="320" t="s">
        <v>4</v>
      </c>
      <c r="L6" s="322" t="s">
        <v>215</v>
      </c>
      <c r="M6" s="133"/>
      <c r="N6" s="11"/>
    </row>
    <row r="7" spans="1:26" s="11" customFormat="1" x14ac:dyDescent="0.2">
      <c r="A7" s="148">
        <f>IF(WEEKDAY(B7,2)&lt;6,INT((B7-(DATE(YEAR(B7+(MOD(8-WEEKDAY(B7),7)-3)),1,1))-3+
MOD(WEEKDAY(DATE(YEAR(B7+(MOD(8-WEEKDAY(B7),7)-3)),1,1))+1,7))/7)+1,"")</f>
        <v>40</v>
      </c>
      <c r="B7" s="68">
        <f>DATE(Info!$E$1,10,1)</f>
        <v>41913</v>
      </c>
      <c r="C7" s="59"/>
      <c r="D7" s="59"/>
      <c r="E7" s="59"/>
      <c r="F7" s="59"/>
      <c r="G7" s="44">
        <f>IF(AND(WEEKDAY(B7,2)&gt;5,$C7=""),"",IF(E7&gt;0,(E7*60+F7)-(C7*60+D7)-H7+TRUNC(Info!$D$10*(I7/100)),IF(MID(C7,1,2)="Fl",0,Info!AK41))-Info!AK41)</f>
        <v>0</v>
      </c>
      <c r="H7" s="185">
        <f>IF(AND(Info!$C$46&gt;0,$E7&gt;$C7),Info!$C$46,)</f>
        <v>0</v>
      </c>
      <c r="I7" s="185"/>
      <c r="J7" s="175" t="str">
        <f>Info!AK7</f>
        <v/>
      </c>
      <c r="K7" s="323"/>
      <c r="L7" s="338"/>
      <c r="M7" s="327"/>
      <c r="P7" s="243"/>
      <c r="Q7" s="243"/>
      <c r="R7" s="243"/>
      <c r="S7" s="243"/>
      <c r="T7" s="243"/>
      <c r="U7" s="243"/>
      <c r="V7" s="243"/>
      <c r="W7" s="243"/>
      <c r="X7" s="243"/>
      <c r="Y7" s="243"/>
      <c r="Z7" s="243"/>
    </row>
    <row r="8" spans="1:26" s="11" customFormat="1" x14ac:dyDescent="0.2">
      <c r="A8" s="148" t="str">
        <f t="shared" ref="A8:A37" si="0">IF(WEEKDAY(B8,2)=1,INT((B8-(DATE(YEAR(B8+(MOD(8-WEEKDAY(B8),7)-3)),1,1))-3+
MOD(WEEKDAY(DATE(YEAR(B8+(MOD(8-WEEKDAY(B8),7)-3)),1,1))+1,7))/7)+1,"")</f>
        <v/>
      </c>
      <c r="B8" s="68">
        <f t="shared" ref="B8:B37" si="1">B7+1</f>
        <v>41914</v>
      </c>
      <c r="C8" s="59"/>
      <c r="D8" s="59"/>
      <c r="E8" s="59"/>
      <c r="F8" s="59"/>
      <c r="G8" s="44">
        <f>IF(AND(WEEKDAY(B8,2)&gt;5,$C8=""),"",IF(E8&gt;0,(E8*60+F8)-(C8*60+D8)-H8+TRUNC(Info!$D$10*(I8/100)),IF(MID(C8,1,2)="Fl",0,Info!AK42))-Info!AK42)</f>
        <v>0</v>
      </c>
      <c r="H8" s="185">
        <f>IF(AND(Info!$C$46&gt;0,$E8&gt;$C8),Info!$C$46,)</f>
        <v>0</v>
      </c>
      <c r="I8" s="185"/>
      <c r="J8" s="175" t="str">
        <f>Info!AK8</f>
        <v/>
      </c>
      <c r="K8" s="323"/>
      <c r="L8" s="338"/>
      <c r="M8" s="327"/>
      <c r="P8" s="243"/>
      <c r="Q8" s="243"/>
      <c r="R8" s="243"/>
      <c r="S8" s="243"/>
      <c r="T8" s="243"/>
      <c r="U8" s="243"/>
      <c r="V8" s="243"/>
      <c r="W8" s="243"/>
      <c r="X8" s="243"/>
      <c r="Y8" s="243"/>
      <c r="Z8" s="243"/>
    </row>
    <row r="9" spans="1:26" s="11" customFormat="1" x14ac:dyDescent="0.2">
      <c r="A9" s="148" t="str">
        <f t="shared" si="0"/>
        <v/>
      </c>
      <c r="B9" s="68">
        <f t="shared" si="1"/>
        <v>41915</v>
      </c>
      <c r="C9" s="59"/>
      <c r="D9" s="59"/>
      <c r="E9" s="59"/>
      <c r="F9" s="59"/>
      <c r="G9" s="44">
        <f>IF(AND(WEEKDAY(B9,2)&gt;5,$C9=""),"",IF(E9&gt;0,(E9*60+F9)-(C9*60+D9)-H9+TRUNC(Info!$D$10*(I9/100)),IF(MID(C9,1,2)="Fl",0,Info!AK43))-Info!AK43)</f>
        <v>0</v>
      </c>
      <c r="H9" s="185">
        <f>IF(AND(Info!$C$46&gt;0,$E9&gt;$C9),Info!$C$46,)</f>
        <v>0</v>
      </c>
      <c r="I9" s="185"/>
      <c r="J9" s="175" t="str">
        <f>Info!AK9</f>
        <v/>
      </c>
      <c r="K9" s="323"/>
      <c r="L9" s="338"/>
      <c r="M9" s="327"/>
      <c r="P9" s="243"/>
      <c r="Q9" s="243"/>
      <c r="R9" s="243"/>
      <c r="S9" s="243"/>
      <c r="T9" s="243"/>
      <c r="U9" s="243"/>
      <c r="V9" s="243"/>
      <c r="W9" s="243"/>
      <c r="X9" s="243"/>
      <c r="Y9" s="243"/>
      <c r="Z9" s="243"/>
    </row>
    <row r="10" spans="1:26" s="11" customFormat="1" x14ac:dyDescent="0.2">
      <c r="A10" s="148" t="str">
        <f t="shared" si="0"/>
        <v/>
      </c>
      <c r="B10" s="68">
        <f t="shared" si="1"/>
        <v>41916</v>
      </c>
      <c r="C10" s="59"/>
      <c r="D10" s="59"/>
      <c r="E10" s="59"/>
      <c r="F10" s="59"/>
      <c r="G10" s="44" t="str">
        <f>IF(AND(WEEKDAY(B10,2)&gt;5,$C10=""),"",IF(E10&gt;0,(E10*60+F10)-(C10*60+D10)-H10+TRUNC(Info!$D$10*(I10/100)),IF(MID(C10,1,2)="Fl",0,Info!AK44))-Info!AK44)</f>
        <v/>
      </c>
      <c r="H10" s="185">
        <f>IF(AND(Info!$C$46&gt;0,$E10&gt;$C10),Info!$C$46,)</f>
        <v>0</v>
      </c>
      <c r="I10" s="185"/>
      <c r="J10" s="175" t="str">
        <f>Info!AK10</f>
        <v/>
      </c>
      <c r="K10" s="323"/>
      <c r="L10" s="338"/>
      <c r="M10" s="327"/>
      <c r="P10" s="243"/>
      <c r="Q10" s="243"/>
      <c r="R10" s="243"/>
      <c r="S10" s="243"/>
      <c r="T10" s="243"/>
      <c r="U10" s="243"/>
      <c r="V10" s="243"/>
      <c r="W10" s="243"/>
      <c r="X10" s="243"/>
      <c r="Y10" s="243"/>
      <c r="Z10" s="243"/>
    </row>
    <row r="11" spans="1:26" s="11" customFormat="1" x14ac:dyDescent="0.2">
      <c r="A11" s="148" t="str">
        <f t="shared" si="0"/>
        <v/>
      </c>
      <c r="B11" s="68">
        <f t="shared" si="1"/>
        <v>41917</v>
      </c>
      <c r="C11" s="59"/>
      <c r="D11" s="59"/>
      <c r="E11" s="59"/>
      <c r="F11" s="59"/>
      <c r="G11" s="44" t="str">
        <f>IF(AND(WEEKDAY(B11,2)&gt;5,$C11=""),"",IF(E11&gt;0,(E11*60+F11)-(C11*60+D11)-H11+TRUNC(Info!$D$10*(I11/100)),IF(MID(C11,1,2)="Fl",0,Info!AK45))-Info!AK45)</f>
        <v/>
      </c>
      <c r="H11" s="185">
        <f>IF(AND(Info!$C$46&gt;0,$E11&gt;$C11),Info!$C$46,)</f>
        <v>0</v>
      </c>
      <c r="I11" s="185"/>
      <c r="J11" s="175" t="str">
        <f>Info!AK11</f>
        <v/>
      </c>
      <c r="K11" s="323"/>
      <c r="L11" s="338"/>
      <c r="M11" s="328"/>
      <c r="P11" s="243"/>
      <c r="Q11" s="243"/>
      <c r="R11" s="243"/>
      <c r="S11" s="243"/>
      <c r="T11" s="243"/>
      <c r="U11" s="243"/>
      <c r="V11" s="243"/>
      <c r="W11" s="243"/>
      <c r="X11" s="243"/>
      <c r="Y11" s="243"/>
      <c r="Z11" s="243"/>
    </row>
    <row r="12" spans="1:26" x14ac:dyDescent="0.2">
      <c r="A12" s="148">
        <f t="shared" si="0"/>
        <v>41</v>
      </c>
      <c r="B12" s="68">
        <f t="shared" si="1"/>
        <v>41918</v>
      </c>
      <c r="C12" s="59"/>
      <c r="D12" s="59"/>
      <c r="E12" s="59"/>
      <c r="F12" s="59"/>
      <c r="G12" s="44">
        <f>IF(AND(WEEKDAY(B12,2)&gt;5,$C12=""),"",IF(E12&gt;0,(E12*60+F12)-(C12*60+D12)-H12+TRUNC(Info!$D$10*(I12/100)),IF(MID(C12,1,2)="Fl",0,Info!AK46))-Info!AK46)</f>
        <v>0</v>
      </c>
      <c r="H12" s="185">
        <f>IF(AND(Info!$C$46&gt;0,$E12&gt;$C12),Info!$C$46,)</f>
        <v>0</v>
      </c>
      <c r="I12" s="185"/>
      <c r="J12" s="175" t="str">
        <f>Info!AK12</f>
        <v/>
      </c>
      <c r="K12" s="323"/>
      <c r="L12" s="338"/>
      <c r="M12" s="140"/>
    </row>
    <row r="13" spans="1:26" s="11" customFormat="1" x14ac:dyDescent="0.2">
      <c r="A13" s="148" t="str">
        <f t="shared" si="0"/>
        <v/>
      </c>
      <c r="B13" s="68">
        <f t="shared" si="1"/>
        <v>41919</v>
      </c>
      <c r="C13" s="59"/>
      <c r="D13" s="59"/>
      <c r="E13" s="59"/>
      <c r="F13" s="59"/>
      <c r="G13" s="44">
        <f>IF(AND(WEEKDAY(B13,2)&gt;5,$C13=""),"",IF(E13&gt;0,(E13*60+F13)-(C13*60+D13)-H13+TRUNC(Info!$D$10*(I13/100)),IF(MID(C13,1,2)="Fl",0,Info!AK47))-Info!AK47)</f>
        <v>0</v>
      </c>
      <c r="H13" s="185">
        <f>IF(AND(Info!$C$46&gt;0,$E13&gt;$C13),Info!$C$46,)</f>
        <v>0</v>
      </c>
      <c r="I13" s="185"/>
      <c r="J13" s="175" t="str">
        <f>Info!AK13</f>
        <v/>
      </c>
      <c r="K13" s="323"/>
      <c r="L13" s="338"/>
      <c r="M13" s="327"/>
      <c r="P13" s="243"/>
      <c r="Q13" s="243"/>
      <c r="R13" s="243"/>
      <c r="S13" s="243"/>
      <c r="T13" s="243"/>
      <c r="U13" s="243"/>
      <c r="V13" s="243"/>
      <c r="W13" s="243"/>
      <c r="X13" s="243"/>
      <c r="Y13" s="243"/>
      <c r="Z13" s="243"/>
    </row>
    <row r="14" spans="1:26" s="11" customFormat="1" x14ac:dyDescent="0.2">
      <c r="A14" s="148" t="str">
        <f t="shared" si="0"/>
        <v/>
      </c>
      <c r="B14" s="68">
        <f t="shared" si="1"/>
        <v>41920</v>
      </c>
      <c r="C14" s="59"/>
      <c r="D14" s="59"/>
      <c r="E14" s="59"/>
      <c r="F14" s="59"/>
      <c r="G14" s="44">
        <f>IF(AND(WEEKDAY(B14,2)&gt;5,$C14=""),"",IF(E14&gt;0,(E14*60+F14)-(C14*60+D14)-H14+TRUNC(Info!$D$10*(I14/100)),IF(MID(C14,1,2)="Fl",0,Info!AK48))-Info!AK48)</f>
        <v>0</v>
      </c>
      <c r="H14" s="185">
        <f>IF(AND(Info!$C$46&gt;0,$E14&gt;$C14),Info!$C$46,)</f>
        <v>0</v>
      </c>
      <c r="I14" s="185"/>
      <c r="J14" s="175" t="str">
        <f>Info!AK14</f>
        <v/>
      </c>
      <c r="K14" s="323"/>
      <c r="L14" s="338"/>
      <c r="M14" s="327"/>
      <c r="P14" s="243"/>
      <c r="Q14" s="243"/>
      <c r="R14" s="243"/>
      <c r="S14" s="243"/>
      <c r="T14" s="243"/>
      <c r="U14" s="243"/>
      <c r="V14" s="243"/>
      <c r="W14" s="243"/>
      <c r="X14" s="243"/>
      <c r="Y14" s="243"/>
      <c r="Z14" s="243"/>
    </row>
    <row r="15" spans="1:26" s="11" customFormat="1" x14ac:dyDescent="0.2">
      <c r="A15" s="148" t="str">
        <f t="shared" si="0"/>
        <v/>
      </c>
      <c r="B15" s="68">
        <f t="shared" si="1"/>
        <v>41921</v>
      </c>
      <c r="C15" s="59"/>
      <c r="D15" s="59"/>
      <c r="E15" s="59"/>
      <c r="F15" s="59"/>
      <c r="G15" s="44">
        <f>IF(AND(WEEKDAY(B15,2)&gt;5,$C15=""),"",IF(E15&gt;0,(E15*60+F15)-(C15*60+D15)-H15+TRUNC(Info!$D$10*(I15/100)),IF(MID(C15,1,2)="Fl",0,Info!AK49))-Info!AK49)</f>
        <v>0</v>
      </c>
      <c r="H15" s="185">
        <f>IF(AND(Info!$C$46&gt;0,$E15&gt;$C15),Info!$C$46,)</f>
        <v>0</v>
      </c>
      <c r="I15" s="185"/>
      <c r="J15" s="175" t="str">
        <f>Info!AK15</f>
        <v/>
      </c>
      <c r="K15" s="323"/>
      <c r="L15" s="338"/>
      <c r="M15" s="327"/>
      <c r="P15" s="243"/>
      <c r="Q15" s="243"/>
      <c r="R15" s="243"/>
      <c r="S15" s="243"/>
      <c r="T15" s="243"/>
      <c r="U15" s="243"/>
      <c r="V15" s="243"/>
      <c r="W15" s="243"/>
      <c r="X15" s="243"/>
      <c r="Y15" s="243"/>
      <c r="Z15" s="243"/>
    </row>
    <row r="16" spans="1:26" s="11" customFormat="1" x14ac:dyDescent="0.2">
      <c r="A16" s="148" t="str">
        <f t="shared" si="0"/>
        <v/>
      </c>
      <c r="B16" s="68">
        <f t="shared" si="1"/>
        <v>41922</v>
      </c>
      <c r="C16" s="59"/>
      <c r="D16" s="59"/>
      <c r="E16" s="59"/>
      <c r="F16" s="59"/>
      <c r="G16" s="44">
        <f>IF(AND(WEEKDAY(B16,2)&gt;5,$C16=""),"",IF(E16&gt;0,(E16*60+F16)-(C16*60+D16)-H16+TRUNC(Info!$D$10*(I16/100)),IF(MID(C16,1,2)="Fl",0,Info!AK50))-Info!AK50)</f>
        <v>0</v>
      </c>
      <c r="H16" s="185">
        <f>IF(AND(Info!$C$46&gt;0,$E16&gt;$C16),Info!$C$46,)</f>
        <v>0</v>
      </c>
      <c r="I16" s="185"/>
      <c r="J16" s="175" t="str">
        <f>Info!AK16</f>
        <v/>
      </c>
      <c r="K16" s="323"/>
      <c r="L16" s="338"/>
      <c r="M16" s="327"/>
      <c r="P16" s="243"/>
      <c r="Q16" s="243"/>
      <c r="R16" s="243"/>
      <c r="S16" s="243"/>
      <c r="T16" s="243"/>
      <c r="U16" s="243"/>
      <c r="V16" s="243"/>
      <c r="W16" s="243"/>
      <c r="X16" s="243"/>
      <c r="Y16" s="243"/>
      <c r="Z16" s="243"/>
    </row>
    <row r="17" spans="1:26" s="11" customFormat="1" x14ac:dyDescent="0.2">
      <c r="A17" s="148" t="str">
        <f t="shared" si="0"/>
        <v/>
      </c>
      <c r="B17" s="68">
        <f t="shared" si="1"/>
        <v>41923</v>
      </c>
      <c r="C17" s="59"/>
      <c r="D17" s="59"/>
      <c r="E17" s="59"/>
      <c r="F17" s="59"/>
      <c r="G17" s="44" t="str">
        <f>IF(AND(WEEKDAY(B17,2)&gt;5,$C17=""),"",IF(E17&gt;0,(E17*60+F17)-(C17*60+D17)-H17+TRUNC(Info!$D$10*(I17/100)),IF(MID(C17,1,2)="Fl",0,Info!AK51))-Info!AK51)</f>
        <v/>
      </c>
      <c r="H17" s="185">
        <f>IF(AND(Info!$C$46&gt;0,$E17&gt;$C17),Info!$C$46,)</f>
        <v>0</v>
      </c>
      <c r="I17" s="185"/>
      <c r="J17" s="175" t="str">
        <f>Info!AK17</f>
        <v/>
      </c>
      <c r="K17" s="323"/>
      <c r="L17" s="338"/>
      <c r="M17" s="327"/>
      <c r="P17" s="243"/>
      <c r="Q17" s="243"/>
      <c r="R17" s="243"/>
      <c r="S17" s="243"/>
      <c r="T17" s="243"/>
      <c r="U17" s="243"/>
      <c r="V17" s="243"/>
      <c r="W17" s="243"/>
      <c r="X17" s="243"/>
      <c r="Y17" s="243"/>
      <c r="Z17" s="243"/>
    </row>
    <row r="18" spans="1:26" s="11" customFormat="1" x14ac:dyDescent="0.2">
      <c r="A18" s="148" t="str">
        <f t="shared" si="0"/>
        <v/>
      </c>
      <c r="B18" s="68">
        <f t="shared" si="1"/>
        <v>41924</v>
      </c>
      <c r="C18" s="59"/>
      <c r="D18" s="59"/>
      <c r="E18" s="59"/>
      <c r="F18" s="59"/>
      <c r="G18" s="44" t="str">
        <f>IF(AND(WEEKDAY(B18,2)&gt;5,$C18=""),"",IF(E18&gt;0,(E18*60+F18)-(C18*60+D18)-H18+TRUNC(Info!$D$10*(I18/100)),IF(MID(C18,1,2)="Fl",0,Info!AK52))-Info!AK52)</f>
        <v/>
      </c>
      <c r="H18" s="185">
        <f>IF(AND(Info!$C$46&gt;0,$E18&gt;$C18),Info!$C$46,)</f>
        <v>0</v>
      </c>
      <c r="I18" s="185"/>
      <c r="J18" s="175" t="str">
        <f>Info!AK18</f>
        <v/>
      </c>
      <c r="K18" s="323"/>
      <c r="L18" s="338"/>
      <c r="M18" s="327"/>
      <c r="P18" s="243"/>
      <c r="Q18" s="243"/>
      <c r="R18" s="243"/>
      <c r="S18" s="243"/>
      <c r="T18" s="243"/>
      <c r="U18" s="243"/>
      <c r="V18" s="243"/>
      <c r="W18" s="243"/>
      <c r="X18" s="243"/>
      <c r="Y18" s="243"/>
      <c r="Z18" s="243"/>
    </row>
    <row r="19" spans="1:26" s="11" customFormat="1" x14ac:dyDescent="0.2">
      <c r="A19" s="148">
        <f t="shared" si="0"/>
        <v>42</v>
      </c>
      <c r="B19" s="68">
        <f t="shared" si="1"/>
        <v>41925</v>
      </c>
      <c r="C19" s="59"/>
      <c r="D19" s="59"/>
      <c r="E19" s="59"/>
      <c r="F19" s="59"/>
      <c r="G19" s="44">
        <f>IF(AND(WEEKDAY(B19,2)&gt;5,$C19=""),"",IF(E19&gt;0,(E19*60+F19)-(C19*60+D19)-H19+TRUNC(Info!$D$10*(I19/100)),IF(MID(C19,1,2)="Fl",0,Info!AK53))-Info!AK53)</f>
        <v>0</v>
      </c>
      <c r="H19" s="185">
        <f>IF(AND(Info!$C$46&gt;0,$E19&gt;$C19),Info!$C$46,)</f>
        <v>0</v>
      </c>
      <c r="I19" s="185"/>
      <c r="J19" s="175" t="str">
        <f>Info!AK19</f>
        <v/>
      </c>
      <c r="K19" s="323"/>
      <c r="L19" s="338"/>
      <c r="M19" s="327"/>
      <c r="P19" s="243"/>
      <c r="Q19" s="243"/>
      <c r="R19" s="243"/>
      <c r="S19" s="243"/>
      <c r="T19" s="243"/>
      <c r="U19" s="243"/>
      <c r="V19" s="243"/>
      <c r="W19" s="243"/>
      <c r="X19" s="243"/>
      <c r="Y19" s="243"/>
      <c r="Z19" s="243"/>
    </row>
    <row r="20" spans="1:26" s="11" customFormat="1" x14ac:dyDescent="0.2">
      <c r="A20" s="148" t="str">
        <f t="shared" si="0"/>
        <v/>
      </c>
      <c r="B20" s="68">
        <f t="shared" si="1"/>
        <v>41926</v>
      </c>
      <c r="C20" s="59"/>
      <c r="D20" s="59"/>
      <c r="E20" s="59"/>
      <c r="F20" s="59"/>
      <c r="G20" s="44">
        <f>IF(AND(WEEKDAY(B20,2)&gt;5,$C20=""),"",IF(E20&gt;0,(E20*60+F20)-(C20*60+D20)-H20+TRUNC(Info!$D$10*(I20/100)),IF(MID(C20,1,2)="Fl",0,Info!AK54))-Info!AK54)</f>
        <v>0</v>
      </c>
      <c r="H20" s="185">
        <f>IF(AND(Info!$C$46&gt;0,$E20&gt;$C20),Info!$C$46,)</f>
        <v>0</v>
      </c>
      <c r="I20" s="185"/>
      <c r="J20" s="175" t="str">
        <f>Info!AK20</f>
        <v/>
      </c>
      <c r="K20" s="323"/>
      <c r="L20" s="338"/>
      <c r="M20" s="327"/>
      <c r="P20" s="243"/>
      <c r="Q20" s="243"/>
      <c r="R20" s="243"/>
      <c r="S20" s="243"/>
      <c r="T20" s="243"/>
      <c r="U20" s="243"/>
      <c r="V20" s="243"/>
      <c r="W20" s="243"/>
      <c r="X20" s="243"/>
      <c r="Y20" s="243"/>
      <c r="Z20" s="243"/>
    </row>
    <row r="21" spans="1:26" s="11" customFormat="1" x14ac:dyDescent="0.2">
      <c r="A21" s="148" t="str">
        <f t="shared" si="0"/>
        <v/>
      </c>
      <c r="B21" s="68">
        <f t="shared" si="1"/>
        <v>41927</v>
      </c>
      <c r="C21" s="59"/>
      <c r="D21" s="59"/>
      <c r="E21" s="59"/>
      <c r="F21" s="59"/>
      <c r="G21" s="44">
        <f>IF(AND(WEEKDAY(B21,2)&gt;5,$C21=""),"",IF(E21&gt;0,(E21*60+F21)-(C21*60+D21)-H21+TRUNC(Info!$D$10*(I21/100)),IF(MID(C21,1,2)="Fl",0,Info!AK55))-Info!AK55)</f>
        <v>0</v>
      </c>
      <c r="H21" s="185">
        <f>IF(AND(Info!$C$46&gt;0,$E21&gt;$C21),Info!$C$46,)</f>
        <v>0</v>
      </c>
      <c r="I21" s="185"/>
      <c r="J21" s="175" t="str">
        <f>Info!AK21</f>
        <v/>
      </c>
      <c r="K21" s="323"/>
      <c r="L21" s="338"/>
      <c r="M21" s="327"/>
      <c r="P21" s="243"/>
      <c r="Q21" s="243"/>
      <c r="R21" s="243"/>
      <c r="S21" s="243"/>
      <c r="T21" s="243"/>
      <c r="U21" s="243"/>
      <c r="V21" s="243"/>
      <c r="W21" s="243"/>
      <c r="X21" s="243"/>
      <c r="Y21" s="243"/>
      <c r="Z21" s="243"/>
    </row>
    <row r="22" spans="1:26" s="11" customFormat="1" x14ac:dyDescent="0.2">
      <c r="A22" s="148" t="str">
        <f t="shared" si="0"/>
        <v/>
      </c>
      <c r="B22" s="68">
        <f t="shared" si="1"/>
        <v>41928</v>
      </c>
      <c r="C22" s="59"/>
      <c r="D22" s="59"/>
      <c r="E22" s="59"/>
      <c r="F22" s="59"/>
      <c r="G22" s="44">
        <f>IF(AND(WEEKDAY(B22,2)&gt;5,$C22=""),"",IF(E22&gt;0,(E22*60+F22)-(C22*60+D22)-H22+TRUNC(Info!$D$10*(I22/100)),IF(MID(C22,1,2)="Fl",0,Info!AK56))-Info!AK56)</f>
        <v>0</v>
      </c>
      <c r="H22" s="185">
        <f>IF(AND(Info!$C$46&gt;0,$E22&gt;$C22),Info!$C$46,)</f>
        <v>0</v>
      </c>
      <c r="I22" s="185"/>
      <c r="J22" s="175" t="str">
        <f>Info!AK22</f>
        <v/>
      </c>
      <c r="K22" s="323"/>
      <c r="L22" s="338"/>
      <c r="M22" s="327"/>
      <c r="P22" s="243"/>
      <c r="Q22" s="243"/>
      <c r="R22" s="243"/>
      <c r="S22" s="243"/>
      <c r="T22" s="243"/>
      <c r="U22" s="243"/>
      <c r="V22" s="243"/>
      <c r="W22" s="243"/>
      <c r="X22" s="243"/>
      <c r="Y22" s="243"/>
      <c r="Z22" s="243"/>
    </row>
    <row r="23" spans="1:26" s="11" customFormat="1" x14ac:dyDescent="0.2">
      <c r="A23" s="148" t="str">
        <f t="shared" si="0"/>
        <v/>
      </c>
      <c r="B23" s="68">
        <f t="shared" si="1"/>
        <v>41929</v>
      </c>
      <c r="C23" s="59"/>
      <c r="D23" s="59"/>
      <c r="E23" s="59"/>
      <c r="F23" s="59"/>
      <c r="G23" s="44">
        <f>IF(AND(WEEKDAY(B23,2)&gt;5,$C23=""),"",IF(E23&gt;0,(E23*60+F23)-(C23*60+D23)-H23+TRUNC(Info!$D$10*(I23/100)),IF(MID(C23,1,2)="Fl",0,Info!AK57))-Info!AK57)</f>
        <v>0</v>
      </c>
      <c r="H23" s="185">
        <f>IF(AND(Info!$C$46&gt;0,$E23&gt;$C23),Info!$C$46,)</f>
        <v>0</v>
      </c>
      <c r="I23" s="185"/>
      <c r="J23" s="175" t="str">
        <f>Info!AK23</f>
        <v/>
      </c>
      <c r="K23" s="323"/>
      <c r="L23" s="338"/>
      <c r="M23" s="327"/>
      <c r="P23" s="243"/>
      <c r="Q23" s="243"/>
      <c r="R23" s="243"/>
      <c r="S23" s="243"/>
      <c r="T23" s="243"/>
      <c r="U23" s="243"/>
      <c r="V23" s="243"/>
      <c r="W23" s="243"/>
      <c r="X23" s="243"/>
      <c r="Y23" s="243"/>
      <c r="Z23" s="243"/>
    </row>
    <row r="24" spans="1:26" s="11" customFormat="1" x14ac:dyDescent="0.2">
      <c r="A24" s="148" t="str">
        <f t="shared" si="0"/>
        <v/>
      </c>
      <c r="B24" s="68">
        <f t="shared" si="1"/>
        <v>41930</v>
      </c>
      <c r="C24" s="59"/>
      <c r="D24" s="59"/>
      <c r="E24" s="59"/>
      <c r="F24" s="59"/>
      <c r="G24" s="44" t="str">
        <f>IF(AND(WEEKDAY(B24,2)&gt;5,$C24=""),"",IF(E24&gt;0,(E24*60+F24)-(C24*60+D24)-H24+TRUNC(Info!$D$10*(I24/100)),IF(MID(C24,1,2)="Fl",0,Info!AK58))-Info!AK58)</f>
        <v/>
      </c>
      <c r="H24" s="185">
        <f>IF(AND(Info!$C$46&gt;0,$E24&gt;$C24),Info!$C$46,)</f>
        <v>0</v>
      </c>
      <c r="I24" s="185"/>
      <c r="J24" s="175" t="str">
        <f>Info!AK24</f>
        <v/>
      </c>
      <c r="K24" s="323"/>
      <c r="L24" s="338"/>
      <c r="M24" s="327"/>
      <c r="P24" s="243"/>
      <c r="Q24" s="243"/>
      <c r="R24" s="243"/>
      <c r="S24" s="243"/>
      <c r="T24" s="243"/>
      <c r="U24" s="243"/>
      <c r="V24" s="243"/>
      <c r="W24" s="243"/>
      <c r="X24" s="243"/>
      <c r="Y24" s="243"/>
      <c r="Z24" s="243"/>
    </row>
    <row r="25" spans="1:26" s="11" customFormat="1" x14ac:dyDescent="0.2">
      <c r="A25" s="148" t="str">
        <f t="shared" si="0"/>
        <v/>
      </c>
      <c r="B25" s="68">
        <f t="shared" si="1"/>
        <v>41931</v>
      </c>
      <c r="C25" s="59"/>
      <c r="D25" s="59"/>
      <c r="E25" s="59"/>
      <c r="F25" s="59"/>
      <c r="G25" s="44" t="str">
        <f>IF(AND(WEEKDAY(B25,2)&gt;5,$C25=""),"",IF(E25&gt;0,(E25*60+F25)-(C25*60+D25)-H25+TRUNC(Info!$D$10*(I25/100)),IF(MID(C25,1,2)="Fl",0,Info!AK59))-Info!AK59)</f>
        <v/>
      </c>
      <c r="H25" s="185">
        <f>IF(AND(Info!$C$46&gt;0,$E25&gt;$C25),Info!$C$46,)</f>
        <v>0</v>
      </c>
      <c r="I25" s="185"/>
      <c r="J25" s="175" t="str">
        <f>Info!AK25</f>
        <v/>
      </c>
      <c r="K25" s="323"/>
      <c r="L25" s="338"/>
      <c r="M25" s="327"/>
      <c r="P25" s="243"/>
      <c r="Q25" s="243"/>
      <c r="R25" s="243"/>
      <c r="S25" s="243"/>
      <c r="T25" s="243"/>
      <c r="U25" s="243"/>
      <c r="V25" s="243"/>
      <c r="W25" s="243"/>
      <c r="X25" s="243"/>
      <c r="Y25" s="243"/>
      <c r="Z25" s="243"/>
    </row>
    <row r="26" spans="1:26" s="11" customFormat="1" x14ac:dyDescent="0.2">
      <c r="A26" s="148">
        <f t="shared" si="0"/>
        <v>43</v>
      </c>
      <c r="B26" s="68">
        <f t="shared" si="1"/>
        <v>41932</v>
      </c>
      <c r="C26" s="59"/>
      <c r="D26" s="59"/>
      <c r="E26" s="59"/>
      <c r="F26" s="59"/>
      <c r="G26" s="44">
        <f>IF(AND(WEEKDAY(B26,2)&gt;5,$C26=""),"",IF(E26&gt;0,(E26*60+F26)-(C26*60+D26)-H26+TRUNC(Info!$D$10*(I26/100)),IF(MID(C26,1,2)="Fl",0,Info!AK60))-Info!AK60)</f>
        <v>0</v>
      </c>
      <c r="H26" s="185">
        <f>IF(AND(Info!$C$46&gt;0,$E26&gt;$C26),Info!$C$46,)</f>
        <v>0</v>
      </c>
      <c r="I26" s="185"/>
      <c r="J26" s="175" t="str">
        <f>Info!AK26</f>
        <v/>
      </c>
      <c r="K26" s="323"/>
      <c r="L26" s="338"/>
      <c r="M26" s="327"/>
      <c r="P26" s="243"/>
      <c r="Q26" s="243"/>
      <c r="R26" s="243"/>
      <c r="S26" s="243"/>
      <c r="T26" s="243"/>
      <c r="U26" s="243"/>
      <c r="V26" s="243"/>
      <c r="W26" s="243"/>
      <c r="X26" s="243"/>
      <c r="Y26" s="243"/>
      <c r="Z26" s="243"/>
    </row>
    <row r="27" spans="1:26" s="11" customFormat="1" x14ac:dyDescent="0.2">
      <c r="A27" s="148" t="str">
        <f t="shared" si="0"/>
        <v/>
      </c>
      <c r="B27" s="68">
        <f t="shared" si="1"/>
        <v>41933</v>
      </c>
      <c r="C27" s="59"/>
      <c r="D27" s="59"/>
      <c r="E27" s="59"/>
      <c r="F27" s="59"/>
      <c r="G27" s="44">
        <f>IF(AND(WEEKDAY(B27,2)&gt;5,$C27=""),"",IF(E27&gt;0,(E27*60+F27)-(C27*60+D27)-H27+TRUNC(Info!$D$10*(I27/100)),IF(MID(C27,1,2)="Fl",0,Info!AK61))-Info!AK61)</f>
        <v>0</v>
      </c>
      <c r="H27" s="185">
        <f>IF(AND(Info!$C$46&gt;0,$E27&gt;$C27),Info!$C$46,)</f>
        <v>0</v>
      </c>
      <c r="I27" s="185"/>
      <c r="J27" s="175" t="str">
        <f>Info!AK27</f>
        <v/>
      </c>
      <c r="K27" s="323"/>
      <c r="L27" s="338"/>
      <c r="M27" s="327"/>
      <c r="P27" s="243"/>
      <c r="Q27" s="243"/>
      <c r="R27" s="243"/>
      <c r="S27" s="243"/>
      <c r="T27" s="243"/>
      <c r="U27" s="243"/>
      <c r="V27" s="243"/>
      <c r="W27" s="243"/>
      <c r="X27" s="243"/>
      <c r="Y27" s="243"/>
      <c r="Z27" s="243"/>
    </row>
    <row r="28" spans="1:26" s="11" customFormat="1" x14ac:dyDescent="0.2">
      <c r="A28" s="148" t="str">
        <f t="shared" si="0"/>
        <v/>
      </c>
      <c r="B28" s="68">
        <f t="shared" si="1"/>
        <v>41934</v>
      </c>
      <c r="C28" s="59"/>
      <c r="D28" s="59"/>
      <c r="E28" s="59"/>
      <c r="F28" s="59"/>
      <c r="G28" s="44">
        <f>IF(AND(WEEKDAY(B28,2)&gt;5,$C28=""),"",IF(E28&gt;0,(E28*60+F28)-(C28*60+D28)-H28+TRUNC(Info!$D$10*(I28/100)),IF(MID(C28,1,2)="Fl",0,Info!AK62))-Info!AK62)</f>
        <v>0</v>
      </c>
      <c r="H28" s="185">
        <f>IF(AND(Info!$C$46&gt;0,$E28&gt;$C28),Info!$C$46,)</f>
        <v>0</v>
      </c>
      <c r="I28" s="185"/>
      <c r="J28" s="175" t="str">
        <f>Info!AK28</f>
        <v/>
      </c>
      <c r="K28" s="323"/>
      <c r="L28" s="338"/>
      <c r="M28" s="327"/>
      <c r="P28" s="243"/>
      <c r="Q28" s="243"/>
      <c r="R28" s="243"/>
      <c r="S28" s="243"/>
      <c r="T28" s="243"/>
      <c r="U28" s="243"/>
      <c r="V28" s="243"/>
      <c r="W28" s="243"/>
      <c r="X28" s="243"/>
      <c r="Y28" s="243"/>
      <c r="Z28" s="243"/>
    </row>
    <row r="29" spans="1:26" s="11" customFormat="1" x14ac:dyDescent="0.2">
      <c r="A29" s="148" t="str">
        <f t="shared" si="0"/>
        <v/>
      </c>
      <c r="B29" s="68">
        <f t="shared" si="1"/>
        <v>41935</v>
      </c>
      <c r="C29" s="59"/>
      <c r="D29" s="59"/>
      <c r="E29" s="59"/>
      <c r="F29" s="59"/>
      <c r="G29" s="44">
        <f>IF(AND(WEEKDAY(B29,2)&gt;5,$C29=""),"",IF(E29&gt;0,(E29*60+F29)-(C29*60+D29)-H29+TRUNC(Info!$D$10*(I29/100)),IF(MID(C29,1,2)="Fl",0,Info!AK63))-Info!AK63)</f>
        <v>0</v>
      </c>
      <c r="H29" s="185">
        <f>IF(AND(Info!$C$46&gt;0,$E29&gt;$C29),Info!$C$46,)</f>
        <v>0</v>
      </c>
      <c r="I29" s="185"/>
      <c r="J29" s="175" t="str">
        <f>Info!AK29</f>
        <v/>
      </c>
      <c r="K29" s="323"/>
      <c r="L29" s="338"/>
      <c r="M29" s="327"/>
      <c r="P29" s="243"/>
      <c r="Q29" s="243"/>
      <c r="R29" s="243"/>
      <c r="S29" s="243"/>
      <c r="T29" s="243"/>
      <c r="U29" s="243"/>
      <c r="V29" s="243"/>
      <c r="W29" s="243"/>
      <c r="X29" s="243"/>
      <c r="Y29" s="243"/>
      <c r="Z29" s="243"/>
    </row>
    <row r="30" spans="1:26" s="11" customFormat="1" x14ac:dyDescent="0.2">
      <c r="A30" s="148" t="str">
        <f t="shared" si="0"/>
        <v/>
      </c>
      <c r="B30" s="68">
        <f t="shared" si="1"/>
        <v>41936</v>
      </c>
      <c r="C30" s="59"/>
      <c r="D30" s="59"/>
      <c r="E30" s="59"/>
      <c r="F30" s="59"/>
      <c r="G30" s="44">
        <f>IF(AND(WEEKDAY(B30,2)&gt;5,$C30=""),"",IF(E30&gt;0,(E30*60+F30)-(C30*60+D30)-H30+TRUNC(Info!$D$10*(I30/100)),IF(MID(C30,1,2)="Fl",0,Info!AK64))-Info!AK64)</f>
        <v>0</v>
      </c>
      <c r="H30" s="185">
        <f>IF(AND(Info!$C$46&gt;0,$E30&gt;$C30),Info!$C$46,)</f>
        <v>0</v>
      </c>
      <c r="I30" s="185"/>
      <c r="J30" s="175" t="str">
        <f>Info!AK30</f>
        <v/>
      </c>
      <c r="K30" s="323"/>
      <c r="L30" s="338"/>
      <c r="M30" s="327"/>
      <c r="P30" s="243"/>
      <c r="Q30" s="243"/>
      <c r="R30" s="243"/>
      <c r="S30" s="243"/>
      <c r="T30" s="243"/>
      <c r="U30" s="243"/>
      <c r="V30" s="243"/>
      <c r="W30" s="243"/>
      <c r="X30" s="243"/>
      <c r="Y30" s="243"/>
      <c r="Z30" s="243"/>
    </row>
    <row r="31" spans="1:26" s="11" customFormat="1" x14ac:dyDescent="0.2">
      <c r="A31" s="148" t="str">
        <f t="shared" si="0"/>
        <v/>
      </c>
      <c r="B31" s="68">
        <f t="shared" si="1"/>
        <v>41937</v>
      </c>
      <c r="C31" s="59"/>
      <c r="D31" s="59"/>
      <c r="E31" s="59"/>
      <c r="F31" s="59"/>
      <c r="G31" s="44" t="str">
        <f>IF(AND(WEEKDAY(B31,2)&gt;5,$C31=""),"",IF(E31&gt;0,(E31*60+F31)-(C31*60+D31)-H31+TRUNC(Info!$D$10*(I31/100)),IF(MID(C31,1,2)="Fl",0,Info!AK65))-Info!AK65)</f>
        <v/>
      </c>
      <c r="H31" s="185">
        <f>IF(AND(Info!$C$46&gt;0,$E31&gt;$C31),Info!$C$46,)</f>
        <v>0</v>
      </c>
      <c r="I31" s="185"/>
      <c r="J31" s="175" t="str">
        <f>Info!AK31</f>
        <v>Normaltid - klokka 1 time tilbake i natt</v>
      </c>
      <c r="K31" s="323"/>
      <c r="L31" s="338"/>
      <c r="M31" s="327"/>
      <c r="P31" s="243"/>
      <c r="Q31" s="243"/>
      <c r="R31" s="243"/>
      <c r="S31" s="243"/>
      <c r="T31" s="243"/>
      <c r="U31" s="243"/>
      <c r="V31" s="243"/>
      <c r="W31" s="243"/>
      <c r="X31" s="243"/>
      <c r="Y31" s="243"/>
      <c r="Z31" s="243"/>
    </row>
    <row r="32" spans="1:26" s="11" customFormat="1" x14ac:dyDescent="0.2">
      <c r="A32" s="148" t="str">
        <f t="shared" si="0"/>
        <v/>
      </c>
      <c r="B32" s="68">
        <f t="shared" si="1"/>
        <v>41938</v>
      </c>
      <c r="C32" s="59"/>
      <c r="D32" s="59"/>
      <c r="E32" s="59"/>
      <c r="F32" s="59"/>
      <c r="G32" s="44" t="str">
        <f>IF(AND(WEEKDAY(B32,2)&gt;5,$C32=""),"",IF(E32&gt;0,(E32*60+F32)-(C32*60+D32)-H32+TRUNC(Info!$D$10*(I32/100)),IF(MID(C32,1,2)="Fl",0,Info!AK66))-Info!AK66)</f>
        <v/>
      </c>
      <c r="H32" s="185">
        <f>IF(AND(Info!$C$46&gt;0,$E32&gt;$C32),Info!$C$46,)</f>
        <v>0</v>
      </c>
      <c r="I32" s="185"/>
      <c r="J32" s="175" t="str">
        <f>Info!AK32</f>
        <v/>
      </c>
      <c r="K32" s="323"/>
      <c r="L32" s="338"/>
      <c r="M32" s="327"/>
      <c r="P32" s="243"/>
      <c r="Q32" s="243"/>
      <c r="R32" s="243"/>
      <c r="S32" s="243"/>
      <c r="T32" s="243"/>
      <c r="U32" s="243"/>
      <c r="V32" s="243"/>
      <c r="W32" s="243"/>
      <c r="X32" s="243"/>
      <c r="Y32" s="243"/>
      <c r="Z32" s="243"/>
    </row>
    <row r="33" spans="1:26" s="11" customFormat="1" x14ac:dyDescent="0.2">
      <c r="A33" s="148">
        <f t="shared" si="0"/>
        <v>44</v>
      </c>
      <c r="B33" s="68">
        <f t="shared" si="1"/>
        <v>41939</v>
      </c>
      <c r="C33" s="59"/>
      <c r="D33" s="59"/>
      <c r="E33" s="59"/>
      <c r="F33" s="59"/>
      <c r="G33" s="44">
        <f>IF(AND(WEEKDAY(B33,2)&gt;5,$C33=""),"",IF(E33&gt;0,(E33*60+F33)-(C33*60+D33)-H33+TRUNC(Info!$D$10*(I33/100)),IF(MID(C33,1,2)="Fl",0,Info!AK67))-Info!AK67)</f>
        <v>0</v>
      </c>
      <c r="H33" s="185">
        <f>IF(AND(Info!$C$46&gt;0,$E33&gt;$C33),Info!$C$46,)</f>
        <v>0</v>
      </c>
      <c r="I33" s="185"/>
      <c r="J33" s="175" t="str">
        <f>Info!AK33</f>
        <v/>
      </c>
      <c r="K33" s="323"/>
      <c r="L33" s="338"/>
      <c r="M33" s="327"/>
      <c r="P33" s="243"/>
      <c r="Q33" s="243"/>
      <c r="R33" s="243"/>
      <c r="S33" s="243"/>
      <c r="T33" s="243"/>
      <c r="U33" s="243"/>
      <c r="V33" s="243"/>
      <c r="W33" s="243"/>
      <c r="X33" s="243"/>
      <c r="Y33" s="243"/>
      <c r="Z33" s="243"/>
    </row>
    <row r="34" spans="1:26" s="11" customFormat="1" x14ac:dyDescent="0.2">
      <c r="A34" s="148" t="str">
        <f t="shared" si="0"/>
        <v/>
      </c>
      <c r="B34" s="68">
        <f t="shared" si="1"/>
        <v>41940</v>
      </c>
      <c r="C34" s="59"/>
      <c r="D34" s="59"/>
      <c r="E34" s="59"/>
      <c r="F34" s="59"/>
      <c r="G34" s="44">
        <f>IF(AND(WEEKDAY(B34,2)&gt;5,$C34=""),"",IF(E34&gt;0,(E34*60+F34)-(C34*60+D34)-H34+TRUNC(Info!$D$10*(I34/100)),IF(MID(C34,1,2)="Fl",0,Info!AK68))-Info!AK68)</f>
        <v>0</v>
      </c>
      <c r="H34" s="185">
        <f>IF(AND(Info!$C$46&gt;0,$E34&gt;$C34),Info!$C$46,)</f>
        <v>0</v>
      </c>
      <c r="I34" s="185"/>
      <c r="J34" s="175" t="str">
        <f>Info!AK34</f>
        <v/>
      </c>
      <c r="K34" s="323"/>
      <c r="L34" s="338"/>
      <c r="M34" s="327"/>
      <c r="P34" s="243"/>
      <c r="Q34" s="243"/>
      <c r="R34" s="243"/>
      <c r="S34" s="243"/>
      <c r="T34" s="243"/>
      <c r="U34" s="243"/>
      <c r="V34" s="243"/>
      <c r="W34" s="243"/>
      <c r="X34" s="243"/>
      <c r="Y34" s="243"/>
      <c r="Z34" s="243"/>
    </row>
    <row r="35" spans="1:26" s="11" customFormat="1" x14ac:dyDescent="0.2">
      <c r="A35" s="148" t="str">
        <f t="shared" si="0"/>
        <v/>
      </c>
      <c r="B35" s="68">
        <f t="shared" si="1"/>
        <v>41941</v>
      </c>
      <c r="C35" s="59"/>
      <c r="D35" s="59"/>
      <c r="E35" s="59"/>
      <c r="F35" s="59"/>
      <c r="G35" s="44">
        <f>IF(AND(WEEKDAY(B35,2)&gt;5,$C35=""),"",IF(E35&gt;0,(E35*60+F35)-(C35*60+D35)-H35+TRUNC(Info!$D$10*(I35/100)),IF(MID(C35,1,2)="Fl",0,Info!AK69))-Info!AK69)</f>
        <v>0</v>
      </c>
      <c r="H35" s="185">
        <f>IF(AND(Info!$C$46&gt;0,$E35&gt;$C35),Info!$C$46,)</f>
        <v>0</v>
      </c>
      <c r="I35" s="185"/>
      <c r="J35" s="175" t="str">
        <f>Info!AK35</f>
        <v/>
      </c>
      <c r="K35" s="323"/>
      <c r="L35" s="338"/>
      <c r="M35" s="327"/>
      <c r="P35" s="243"/>
      <c r="Q35" s="243"/>
      <c r="R35" s="243"/>
      <c r="S35" s="243"/>
      <c r="T35" s="243"/>
      <c r="U35" s="243"/>
      <c r="V35" s="243"/>
      <c r="W35" s="243"/>
      <c r="X35" s="243"/>
      <c r="Y35" s="243"/>
      <c r="Z35" s="243"/>
    </row>
    <row r="36" spans="1:26" s="11" customFormat="1" x14ac:dyDescent="0.2">
      <c r="A36" s="148" t="str">
        <f t="shared" si="0"/>
        <v/>
      </c>
      <c r="B36" s="68">
        <f t="shared" si="1"/>
        <v>41942</v>
      </c>
      <c r="C36" s="59"/>
      <c r="D36" s="59"/>
      <c r="E36" s="59"/>
      <c r="F36" s="59"/>
      <c r="G36" s="44">
        <f>IF(AND(WEEKDAY(B36,2)&gt;5,$C36=""),"",IF(E36&gt;0,(E36*60+F36)-(C36*60+D36)-H36+TRUNC(Info!$D$10*(I36/100)),IF(MID(C36,1,2)="Fl",0,Info!AK70))-Info!AK70)</f>
        <v>0</v>
      </c>
      <c r="H36" s="185">
        <f>IF(AND(Info!$C$46&gt;0,$E36&gt;$C36),Info!$C$46,)</f>
        <v>0</v>
      </c>
      <c r="I36" s="185"/>
      <c r="J36" s="175" t="str">
        <f>Info!AK36</f>
        <v/>
      </c>
      <c r="K36" s="323"/>
      <c r="L36" s="338"/>
      <c r="M36" s="327"/>
      <c r="P36" s="243"/>
      <c r="Q36" s="243"/>
      <c r="R36" s="243"/>
      <c r="S36" s="243"/>
      <c r="T36" s="243"/>
      <c r="U36" s="243"/>
      <c r="V36" s="243"/>
      <c r="W36" s="243"/>
      <c r="X36" s="243"/>
      <c r="Y36" s="243"/>
      <c r="Z36" s="243"/>
    </row>
    <row r="37" spans="1:26" s="11" customFormat="1" ht="13.5" thickBot="1" x14ac:dyDescent="0.25">
      <c r="A37" s="148" t="str">
        <f t="shared" si="0"/>
        <v/>
      </c>
      <c r="B37" s="69">
        <f t="shared" si="1"/>
        <v>41943</v>
      </c>
      <c r="C37" s="60"/>
      <c r="D37" s="60"/>
      <c r="E37" s="60"/>
      <c r="F37" s="60"/>
      <c r="G37" s="52">
        <f>IF(AND(WEEKDAY(B37,2)&gt;5,$C37=""),"",IF(E37&gt;0,(E37*60+F37)-(C37*60+D37)-H37+TRUNC(Info!$D$10*(I37/100)),IF(MID(C37,1,2)="Fl",0,Info!AK71))-Info!AK71)</f>
        <v>0</v>
      </c>
      <c r="H37" s="186">
        <f>IF(AND(Info!$C$46&gt;0,$E37&gt;$C37),Info!$C$46,)</f>
        <v>0</v>
      </c>
      <c r="I37" s="186"/>
      <c r="J37" s="176" t="str">
        <f>Info!AK37</f>
        <v/>
      </c>
      <c r="K37" s="323"/>
      <c r="L37" s="338"/>
      <c r="M37" s="327"/>
      <c r="P37" s="243"/>
      <c r="Q37" s="243"/>
      <c r="R37" s="243"/>
      <c r="S37" s="243"/>
      <c r="T37" s="243"/>
      <c r="U37" s="243"/>
      <c r="V37" s="243"/>
      <c r="W37" s="243"/>
      <c r="X37" s="243"/>
      <c r="Y37" s="243"/>
      <c r="Z37" s="243"/>
    </row>
    <row r="38" spans="1:26" x14ac:dyDescent="0.2">
      <c r="G38" s="45"/>
      <c r="H38" s="12"/>
      <c r="I38" s="12"/>
      <c r="K38" s="313">
        <f>SUM(K7:K37)</f>
        <v>0</v>
      </c>
      <c r="L38" s="313">
        <f>SUM(L7:L37)</f>
        <v>0</v>
      </c>
      <c r="M38" s="327"/>
      <c r="N38" s="337">
        <f>SUM(Sep!$K$27:'Sep'!$K35)+SUM($K$7:$K$26)</f>
        <v>0</v>
      </c>
    </row>
    <row r="39" spans="1:26" x14ac:dyDescent="0.2">
      <c r="K39" s="342" t="str">
        <f>ROUNDDOWN(K38/60,1)&amp;" t"</f>
        <v>0 t</v>
      </c>
      <c r="L39" s="96" t="s">
        <v>217</v>
      </c>
      <c r="N39" s="330" t="str">
        <f>ROUNDDOWN(N38/60,1)&amp;" t  i perioden 21."&amp;TEXT(B7-1,"m")&amp;"-20."&amp;TEXT(B7,"m")</f>
        <v>0 t  i perioden 21.9-20.10</v>
      </c>
    </row>
    <row r="40" spans="1:26" x14ac:dyDescent="0.2">
      <c r="B40" s="454" t="s">
        <v>141</v>
      </c>
      <c r="C40" s="455"/>
      <c r="D40" s="455"/>
      <c r="E40" s="456"/>
      <c r="F40" s="208" t="s">
        <v>48</v>
      </c>
      <c r="G40" s="209" t="s">
        <v>49</v>
      </c>
      <c r="H40" s="482" t="s">
        <v>50</v>
      </c>
      <c r="I40" s="460"/>
      <c r="J40" s="14" t="s">
        <v>19</v>
      </c>
      <c r="K40" s="92"/>
      <c r="L40" s="92"/>
    </row>
    <row r="41" spans="1:26" x14ac:dyDescent="0.2">
      <c r="B41" s="191" t="str">
        <f>J$2&amp;":"</f>
        <v>Oktober:</v>
      </c>
      <c r="C41" s="1"/>
      <c r="D41" s="1"/>
      <c r="E41" s="40">
        <f>SUM(G$7:G$37)</f>
        <v>0</v>
      </c>
      <c r="F41" s="38">
        <f>TRUNC(E41/60,)</f>
        <v>0</v>
      </c>
      <c r="G41" s="50">
        <f>((E41/60)-F41)*60</f>
        <v>0</v>
      </c>
      <c r="H41" s="473"/>
      <c r="I41" s="474"/>
      <c r="J41" s="15" t="s">
        <v>145</v>
      </c>
      <c r="K41" s="92"/>
      <c r="L41" s="92"/>
    </row>
    <row r="42" spans="1:26" x14ac:dyDescent="0.2">
      <c r="B42" s="192" t="str">
        <f>"Fra "&amp;TEXT(($B$7-1),"mmmm")&amp;":"</f>
        <v>Fra september:</v>
      </c>
      <c r="C42" s="1"/>
      <c r="D42" s="1"/>
      <c r="E42" s="40">
        <f>Sep!$E$42</f>
        <v>0</v>
      </c>
      <c r="F42" s="39">
        <f>TRUNC(E42/60,)</f>
        <v>0</v>
      </c>
      <c r="G42" s="51">
        <f>((E42/60)-F42)*60</f>
        <v>0</v>
      </c>
      <c r="H42" s="473"/>
      <c r="I42" s="474"/>
      <c r="J42" s="15" t="s">
        <v>146</v>
      </c>
      <c r="K42" s="92"/>
      <c r="L42" s="92"/>
    </row>
    <row r="43" spans="1:26" x14ac:dyDescent="0.2">
      <c r="B43" s="210" t="s">
        <v>142</v>
      </c>
      <c r="C43" s="1"/>
      <c r="D43" s="1"/>
      <c r="E43" s="193">
        <f>E41+E42</f>
        <v>0</v>
      </c>
      <c r="F43" s="80">
        <f>TRUNC(E43/60,)</f>
        <v>0</v>
      </c>
      <c r="G43" s="81">
        <f>((E43/60)-F43)*60</f>
        <v>0</v>
      </c>
      <c r="H43" s="457">
        <f>E43/Info!$D$10</f>
        <v>0</v>
      </c>
      <c r="I43" s="451"/>
      <c r="J43" s="213" t="s">
        <v>147</v>
      </c>
      <c r="K43" s="92"/>
      <c r="L43" s="92"/>
    </row>
    <row r="44" spans="1:26" x14ac:dyDescent="0.2">
      <c r="B44" s="454" t="s">
        <v>133</v>
      </c>
      <c r="C44" s="455"/>
      <c r="D44" s="455"/>
      <c r="E44" s="456"/>
      <c r="F44" s="1"/>
      <c r="G44" s="46"/>
      <c r="H44" s="461">
        <f>IF(Info!$C$47="Ja",E43/Info!$D$11,)</f>
        <v>0</v>
      </c>
      <c r="I44" s="461"/>
      <c r="J44" s="17" t="s">
        <v>40</v>
      </c>
      <c r="K44" s="92"/>
      <c r="L44" s="92"/>
    </row>
    <row r="45" spans="1:26" x14ac:dyDescent="0.2">
      <c r="B45" s="191" t="str">
        <f>J$2&amp;":"</f>
        <v>Oktober:</v>
      </c>
      <c r="C45" s="194"/>
      <c r="D45" s="195"/>
      <c r="E45" s="196">
        <f>COUNTIF(C$7:C$37,"Fe*")</f>
        <v>0</v>
      </c>
      <c r="G45" s="47"/>
      <c r="H45" s="18"/>
      <c r="I45" s="18"/>
      <c r="J45" s="25"/>
      <c r="K45" s="92"/>
      <c r="L45" s="92"/>
    </row>
    <row r="46" spans="1:26" x14ac:dyDescent="0.2">
      <c r="B46" s="192" t="s">
        <v>143</v>
      </c>
      <c r="C46" s="7"/>
      <c r="D46" s="7"/>
      <c r="E46" s="197">
        <f>Sep!$E$46</f>
        <v>0</v>
      </c>
      <c r="F46" s="10"/>
      <c r="G46" s="48"/>
      <c r="H46" s="19"/>
      <c r="I46" s="19"/>
      <c r="J46" s="26"/>
      <c r="K46" s="92"/>
      <c r="L46" s="92"/>
    </row>
    <row r="47" spans="1:26" x14ac:dyDescent="0.2">
      <c r="B47" s="211" t="s">
        <v>44</v>
      </c>
      <c r="C47" s="198"/>
      <c r="D47" s="198"/>
      <c r="E47" s="199">
        <f>E46-E45</f>
        <v>0</v>
      </c>
      <c r="F47" s="2"/>
      <c r="G47" s="48"/>
      <c r="H47" s="19"/>
      <c r="I47" s="19"/>
      <c r="J47" s="26"/>
      <c r="K47" s="92"/>
      <c r="L47" s="92"/>
    </row>
    <row r="48" spans="1:26" x14ac:dyDescent="0.2">
      <c r="B48" s="454" t="s">
        <v>140</v>
      </c>
      <c r="C48" s="455"/>
      <c r="D48" s="455"/>
      <c r="E48" s="456"/>
      <c r="F48" s="454" t="s">
        <v>87</v>
      </c>
      <c r="G48" s="458"/>
      <c r="H48" s="459"/>
      <c r="I48" s="460"/>
      <c r="K48" s="92"/>
      <c r="L48" s="92"/>
    </row>
    <row r="49" spans="2:12" x14ac:dyDescent="0.2">
      <c r="B49" s="191" t="str">
        <f>J$2&amp;":"</f>
        <v>Oktober:</v>
      </c>
      <c r="C49" s="195"/>
      <c r="D49" s="195"/>
      <c r="E49" s="200">
        <f>COUNTIF(C$7:C$37,"S*")</f>
        <v>0</v>
      </c>
      <c r="F49" s="464" t="str">
        <f>IF(E49&gt;0,"- av disse","")</f>
        <v/>
      </c>
      <c r="G49" s="465"/>
      <c r="H49" s="466" t="str">
        <f>IF(E49&gt;0,E49-COUNTIF(C$7:C$37,"s*m*"),"")</f>
        <v/>
      </c>
      <c r="I49" s="467"/>
      <c r="K49" s="92"/>
      <c r="L49" s="92"/>
    </row>
    <row r="50" spans="2:12" x14ac:dyDescent="0.2">
      <c r="B50" s="211" t="str">
        <f>J$1&amp;":"</f>
        <v>2014:</v>
      </c>
      <c r="C50" s="198"/>
      <c r="D50" s="198"/>
      <c r="E50" s="201">
        <f>Sep!$E$49+E49</f>
        <v>0</v>
      </c>
      <c r="F50" s="452" t="s">
        <v>148</v>
      </c>
      <c r="G50" s="453"/>
      <c r="H50" s="450">
        <f>SUM(Info!$I$14:'Info'!$I$15)+SUM(Info!$J$4:'Info'!$J$12)+E49-COUNTIF(C$7:C$37,"s*m*")</f>
        <v>0</v>
      </c>
      <c r="I50" s="451"/>
      <c r="K50" s="92"/>
      <c r="L50" s="92"/>
    </row>
    <row r="51" spans="2:12" x14ac:dyDescent="0.2">
      <c r="B51" s="454" t="s">
        <v>144</v>
      </c>
      <c r="C51" s="455"/>
      <c r="D51" s="455"/>
      <c r="E51" s="456"/>
      <c r="K51" s="92"/>
      <c r="L51" s="92"/>
    </row>
    <row r="52" spans="2:12" x14ac:dyDescent="0.2">
      <c r="B52" s="202" t="str">
        <f>"Sykt barn/-passer i "&amp;LOWER(J$2)&amp;":"</f>
        <v>Sykt barn/-passer i oktober:</v>
      </c>
      <c r="C52" s="28"/>
      <c r="D52" s="203"/>
      <c r="E52" s="204">
        <f>COUNTIF(C$7:C$37,"P*b*")</f>
        <v>0</v>
      </c>
      <c r="F52" s="1"/>
      <c r="G52" s="49"/>
      <c r="H52" s="19"/>
      <c r="I52" s="19"/>
      <c r="K52" s="92"/>
      <c r="L52" s="92"/>
    </row>
    <row r="53" spans="2:12" x14ac:dyDescent="0.2">
      <c r="B53" s="205" t="str">
        <f>"Velferdspermisjon i "&amp;LOWER(J$2)&amp;":"</f>
        <v>Velferdspermisjon i oktober:</v>
      </c>
      <c r="C53" s="1"/>
      <c r="D53" s="1"/>
      <c r="E53" s="206">
        <f>COUNTIF(C$7:C$37,"P*v*")</f>
        <v>0</v>
      </c>
      <c r="K53" s="92"/>
      <c r="L53" s="92"/>
    </row>
    <row r="54" spans="2:12" x14ac:dyDescent="0.2">
      <c r="B54" s="205" t="str">
        <f>"Annen permisjon i "&amp;LOWER(J$2)&amp;":"</f>
        <v>Annen permisjon i oktober:</v>
      </c>
      <c r="C54" s="1"/>
      <c r="D54" s="1"/>
      <c r="E54" s="206">
        <f>COUNTIF(C$7:C$37,"P*a*")</f>
        <v>0</v>
      </c>
      <c r="J54" s="429"/>
      <c r="K54" s="92"/>
      <c r="L54" s="92"/>
    </row>
    <row r="55" spans="2:12" x14ac:dyDescent="0.2">
      <c r="B55" s="212" t="str">
        <f>J$1&amp;":"</f>
        <v>2014:</v>
      </c>
      <c r="C55" s="31"/>
      <c r="D55" s="31"/>
      <c r="E55" s="207">
        <f>Sep!$E$54+SUM(E52:E54)</f>
        <v>0</v>
      </c>
      <c r="J55" s="314" t="s">
        <v>233</v>
      </c>
      <c r="K55" s="92"/>
      <c r="L55" s="92"/>
    </row>
  </sheetData>
  <sheetProtection selectLockedCells="1"/>
  <mergeCells count="16">
    <mergeCell ref="K5:L5"/>
    <mergeCell ref="F49:G49"/>
    <mergeCell ref="F50:G50"/>
    <mergeCell ref="B51:E51"/>
    <mergeCell ref="B40:E40"/>
    <mergeCell ref="B44:E44"/>
    <mergeCell ref="B48:E48"/>
    <mergeCell ref="F48:I48"/>
    <mergeCell ref="H49:I49"/>
    <mergeCell ref="H50:I50"/>
    <mergeCell ref="H43:I43"/>
    <mergeCell ref="H44:I44"/>
    <mergeCell ref="H5:I5"/>
    <mergeCell ref="H40:I40"/>
    <mergeCell ref="H41:I41"/>
    <mergeCell ref="H42:I42"/>
  </mergeCells>
  <phoneticPr fontId="0" type="noConversion"/>
  <conditionalFormatting sqref="G7:G37">
    <cfRule type="expression" dxfId="71" priority="1" stopIfTrue="1">
      <formula>WEEKDAY($B7,2)&gt;5</formula>
    </cfRule>
  </conditionalFormatting>
  <conditionalFormatting sqref="A7">
    <cfRule type="expression" dxfId="70" priority="2" stopIfTrue="1">
      <formula>AND((TODAY()-WEEKDAY(TODAY(),2)+7)&gt;=B7,(TODAY()-WEEKDAY(TODAY(),2)&lt;B7))</formula>
    </cfRule>
  </conditionalFormatting>
  <conditionalFormatting sqref="A8:A37">
    <cfRule type="expression" dxfId="69" priority="3" stopIfTrue="1">
      <formula>(TODAY()-WEEKDAY(TODAY(),2)+1)=B8</formula>
    </cfRule>
  </conditionalFormatting>
  <conditionalFormatting sqref="C7:F37 H7:I37">
    <cfRule type="expression" dxfId="68" priority="4" stopIfTrue="1">
      <formula>$B7=TODAY()</formula>
    </cfRule>
    <cfRule type="expression" dxfId="67" priority="5" stopIfTrue="1">
      <formula>WEEKDAY($B7,2)&gt;5</formula>
    </cfRule>
  </conditionalFormatting>
  <conditionalFormatting sqref="B7:B37">
    <cfRule type="expression" dxfId="66" priority="6" stopIfTrue="1">
      <formula>AND(B7=TODAY(),OR(WEEKDAY(B7,2)&gt;5,LEFT($A7,1)=" "))</formula>
    </cfRule>
    <cfRule type="expression" dxfId="65" priority="7" stopIfTrue="1">
      <formula>B7=TODAY()</formula>
    </cfRule>
    <cfRule type="expression" dxfId="64" priority="8" stopIfTrue="1">
      <formula>OR(WEEKDAY($B7,2)&gt;5,LEFT($A7,1)=" ")</formula>
    </cfRule>
  </conditionalFormatting>
  <conditionalFormatting sqref="J7:J37">
    <cfRule type="expression" dxfId="63" priority="9" stopIfTrue="1">
      <formula>$B7=TODAY()</formula>
    </cfRule>
    <cfRule type="expression" dxfId="62" priority="10" stopIfTrue="1">
      <formula>WEEKDAY($B7,2)&gt;5</formula>
    </cfRule>
  </conditionalFormatting>
  <conditionalFormatting sqref="G6">
    <cfRule type="expression" dxfId="61" priority="11" stopIfTrue="1">
      <formula>AND(H43&gt;-0.99,H43&lt;-0.01)</formula>
    </cfRule>
    <cfRule type="expression" dxfId="60" priority="12" stopIfTrue="1">
      <formula>H43&lt;=-2</formula>
    </cfRule>
    <cfRule type="expression" dxfId="59" priority="13" stopIfTrue="1">
      <formula>AND(H43&gt;-1.99,H43&lt;-1)</formula>
    </cfRule>
  </conditionalFormatting>
  <conditionalFormatting sqref="N2:N6">
    <cfRule type="expression" dxfId="58" priority="31" stopIfTrue="1">
      <formula>MONTH($B$7)=MONTH(TODAY())</formula>
    </cfRule>
  </conditionalFormatting>
  <conditionalFormatting sqref="H50">
    <cfRule type="cellIs" dxfId="57" priority="14" stopIfTrue="1" operator="greaterThan">
      <formula>22</formula>
    </cfRule>
  </conditionalFormatting>
  <conditionalFormatting sqref="H43">
    <cfRule type="cellIs" dxfId="56" priority="15" stopIfTrue="1" operator="between">
      <formula>-0.4</formula>
      <formula>-0.9999999</formula>
    </cfRule>
    <cfRule type="cellIs" dxfId="55" priority="16" stopIfTrue="1" operator="lessThanOrEqual">
      <formula>-2</formula>
    </cfRule>
    <cfRule type="cellIs" dxfId="54" priority="17" stopIfTrue="1" operator="between">
      <formula>-1</formula>
      <formula>-1.99999999</formula>
    </cfRule>
  </conditionalFormatting>
  <conditionalFormatting sqref="K39">
    <cfRule type="expression" dxfId="53" priority="36" stopIfTrue="1">
      <formula>K38&lt;=0</formula>
    </cfRule>
  </conditionalFormatting>
  <conditionalFormatting sqref="L39">
    <cfRule type="expression" dxfId="52" priority="37" stopIfTrue="1">
      <formula>OR(K38&lt;=0,N38&lt;=0)</formula>
    </cfRule>
  </conditionalFormatting>
  <conditionalFormatting sqref="K38:L38">
    <cfRule type="cellIs" dxfId="51" priority="38" stopIfTrue="1" operator="lessThanOrEqual">
      <formula>0</formula>
    </cfRule>
  </conditionalFormatting>
  <conditionalFormatting sqref="K7:L37">
    <cfRule type="expression" dxfId="50" priority="39" stopIfTrue="1">
      <formula>$B7=TODAY()</formula>
    </cfRule>
    <cfRule type="expression" dxfId="49" priority="40" stopIfTrue="1">
      <formula>WEEKDAY($B7,2)&gt;5</formula>
    </cfRule>
  </conditionalFormatting>
  <conditionalFormatting sqref="N39">
    <cfRule type="expression" dxfId="48" priority="41" stopIfTrue="1">
      <formula>N38&lt;=0</formula>
    </cfRule>
  </conditionalFormatting>
  <pageMargins left="0.78740157480314965" right="0.19685039370078741" top="0.78740157480314965" bottom="0.98425196850393704" header="0.51181102362204722" footer="0.51181102362204722"/>
  <pageSetup paperSize="9" orientation="portrait" r:id="rId1"/>
  <headerFooter alignWithMargins="0">
    <oddFooter>&amp;R&amp;7ghe&amp;G 2011</oddFooter>
  </headerFooter>
  <ignoredErrors>
    <ignoredError sqref="J7:J37 H7:H37" unlockedFormula="1"/>
  </ignoredErrors>
  <drawing r:id="rId2"/>
  <legacyDrawing r:id="rId3"/>
  <legacyDrawingHF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3" enableFormatConditionsCalculation="0">
    <tabColor indexed="61"/>
  </sheetPr>
  <dimension ref="A1:Z55"/>
  <sheetViews>
    <sheetView showGridLines="0" workbookViewId="0">
      <pane ySplit="6" topLeftCell="A7" activePane="bottomLeft" state="frozenSplit"/>
      <selection pane="bottomLeft" activeCell="C7" sqref="C7"/>
    </sheetView>
  </sheetViews>
  <sheetFormatPr baseColWidth="10" defaultColWidth="9.140625" defaultRowHeight="12.75" x14ac:dyDescent="0.2"/>
  <cols>
    <col min="1" max="1" width="3" style="149" customWidth="1"/>
    <col min="2" max="2" width="7.5703125" customWidth="1"/>
    <col min="3" max="5" width="9.140625" customWidth="1"/>
    <col min="6" max="6" width="8.5703125" customWidth="1"/>
    <col min="7" max="7" width="7.140625" style="41" customWidth="1"/>
    <col min="8" max="8" width="5" style="8" customWidth="1"/>
    <col min="9" max="9" width="3.42578125" style="8" customWidth="1"/>
    <col min="10" max="10" width="31.42578125" style="10" customWidth="1"/>
    <col min="11" max="12" width="4.7109375" customWidth="1"/>
    <col min="13" max="13" width="1.85546875" style="92" customWidth="1"/>
    <col min="14" max="14" width="20.28515625" customWidth="1"/>
    <col min="15" max="15" width="1.85546875" customWidth="1"/>
    <col min="16" max="16" width="9.140625" style="244" customWidth="1"/>
    <col min="17" max="26" width="9.140625" style="244"/>
  </cols>
  <sheetData>
    <row r="1" spans="1:26" s="92" customFormat="1" x14ac:dyDescent="0.2">
      <c r="A1" s="133"/>
      <c r="G1" s="347"/>
      <c r="H1" s="348"/>
      <c r="I1" s="348"/>
      <c r="J1" s="349">
        <f>Info!$E$1</f>
        <v>2014</v>
      </c>
    </row>
    <row r="2" spans="1:26" s="92" customFormat="1" ht="23.25" x14ac:dyDescent="0.35">
      <c r="A2" s="350"/>
      <c r="B2" s="369"/>
      <c r="C2" s="369"/>
      <c r="D2" s="370"/>
      <c r="E2" s="370"/>
      <c r="F2" s="371" t="str">
        <f>Info!C41</f>
        <v>Fleksitid</v>
      </c>
      <c r="G2" s="372"/>
      <c r="H2" s="369"/>
      <c r="I2" s="369"/>
      <c r="J2" s="373" t="s">
        <v>8</v>
      </c>
      <c r="N2" s="325"/>
    </row>
    <row r="3" spans="1:26" s="92" customFormat="1" ht="17.25" customHeight="1" x14ac:dyDescent="0.2">
      <c r="A3" s="133"/>
      <c r="B3" s="356"/>
      <c r="C3" s="357"/>
      <c r="D3" s="358"/>
      <c r="E3" s="359"/>
      <c r="F3" s="360">
        <f>Info!$C$5</f>
        <v>0</v>
      </c>
      <c r="G3" s="361"/>
      <c r="H3" s="362"/>
      <c r="I3" s="362"/>
      <c r="J3" s="314"/>
      <c r="N3" s="325"/>
    </row>
    <row r="4" spans="1:26" s="92" customFormat="1" ht="15" customHeight="1" thickBot="1" x14ac:dyDescent="0.25">
      <c r="A4" s="133"/>
      <c r="B4" s="363"/>
      <c r="C4" s="364"/>
      <c r="D4" s="365"/>
      <c r="E4" s="366"/>
      <c r="F4" s="367">
        <f>Info!$C$6</f>
        <v>0</v>
      </c>
      <c r="G4" s="368"/>
      <c r="H4" s="366"/>
      <c r="I4" s="366"/>
      <c r="J4" s="365"/>
      <c r="N4" s="325"/>
    </row>
    <row r="5" spans="1:26" x14ac:dyDescent="0.2">
      <c r="B5" s="3"/>
      <c r="C5" s="4" t="s">
        <v>0</v>
      </c>
      <c r="D5" s="4"/>
      <c r="E5" s="4" t="s">
        <v>1</v>
      </c>
      <c r="F5" s="4"/>
      <c r="G5" s="42"/>
      <c r="H5" s="468" t="s">
        <v>208</v>
      </c>
      <c r="I5" s="469"/>
      <c r="J5" s="9" t="s">
        <v>6</v>
      </c>
      <c r="K5" s="462" t="s">
        <v>216</v>
      </c>
      <c r="L5" s="463"/>
      <c r="M5" s="326"/>
      <c r="N5" s="11"/>
    </row>
    <row r="6" spans="1:26" ht="13.5" thickBot="1" x14ac:dyDescent="0.25">
      <c r="B6" s="5" t="s">
        <v>2</v>
      </c>
      <c r="C6" s="6" t="s">
        <v>3</v>
      </c>
      <c r="D6" s="6" t="s">
        <v>4</v>
      </c>
      <c r="E6" s="6" t="s">
        <v>3</v>
      </c>
      <c r="F6" s="6" t="s">
        <v>4</v>
      </c>
      <c r="G6" s="188" t="s">
        <v>139</v>
      </c>
      <c r="H6" s="6" t="s">
        <v>4</v>
      </c>
      <c r="I6" s="308" t="s">
        <v>207</v>
      </c>
      <c r="J6" s="172" t="str">
        <f>"Fleksi"&amp;IF(E42&lt;Info!D10,"tid: "&amp;IF(E42&lt;0,"-","")&amp;ABS(F42)&amp;":"&amp;ABS(ROUND(G42,)),"dager: "&amp;ROUND(H$42,1))&amp;"   Ferie: "&amp;E$46</f>
        <v>Fleksitid: 0:0   Ferie: 0</v>
      </c>
      <c r="K6" s="320" t="s">
        <v>4</v>
      </c>
      <c r="L6" s="322" t="s">
        <v>215</v>
      </c>
      <c r="M6" s="133"/>
      <c r="N6" s="11"/>
    </row>
    <row r="7" spans="1:26" s="11" customFormat="1" x14ac:dyDescent="0.2">
      <c r="A7" s="148" t="str">
        <f>IF(WEEKDAY(B7,2)&lt;6,INT((B7-(DATE(YEAR(B7+(MOD(8-WEEKDAY(B7),7)-3)),1,1))-3+
MOD(WEEKDAY(DATE(YEAR(B7+(MOD(8-WEEKDAY(B7),7)-3)),1,1))+1,7))/7)+1,"")</f>
        <v/>
      </c>
      <c r="B7" s="68">
        <f>DATE(Info!$E$1,11,1)</f>
        <v>41944</v>
      </c>
      <c r="C7" s="59"/>
      <c r="D7" s="59"/>
      <c r="E7" s="59"/>
      <c r="F7" s="59"/>
      <c r="G7" s="44" t="str">
        <f>IF(AND(WEEKDAY(B7,2)&gt;5,$C7=""),"",IF(E7&gt;0,(E7*60+F7)-(C7*60+D7)-H7+TRUNC(Info!$D$10*(I7/100)),IF(MID(C7,1,2)="Fl",0,Info!$D$10))-Info!$D$10)</f>
        <v/>
      </c>
      <c r="H7" s="185">
        <f>IF(AND(Info!$C$46&gt;0,$E7&gt;$C7),Info!$C$46,)</f>
        <v>0</v>
      </c>
      <c r="I7" s="185"/>
      <c r="J7" s="175" t="str">
        <f>Info!AL7</f>
        <v/>
      </c>
      <c r="K7" s="323"/>
      <c r="L7" s="338"/>
      <c r="M7" s="327"/>
      <c r="P7" s="243"/>
      <c r="Q7" s="243"/>
      <c r="R7" s="243"/>
      <c r="S7" s="243"/>
      <c r="T7" s="243"/>
      <c r="U7" s="243"/>
      <c r="V7" s="243"/>
      <c r="W7" s="243"/>
      <c r="X7" s="243"/>
      <c r="Y7" s="243"/>
      <c r="Z7" s="243"/>
    </row>
    <row r="8" spans="1:26" s="11" customFormat="1" x14ac:dyDescent="0.2">
      <c r="A8" s="148" t="str">
        <f t="shared" ref="A8:A36" si="0">IF(WEEKDAY(B8,2)=1,INT((B8-(DATE(YEAR(B8+(MOD(8-WEEKDAY(B8),7)-3)),1,1))-3+
MOD(WEEKDAY(DATE(YEAR(B8+(MOD(8-WEEKDAY(B8),7)-3)),1,1))+1,7))/7)+1,"")</f>
        <v/>
      </c>
      <c r="B8" s="68">
        <f>B7+1</f>
        <v>41945</v>
      </c>
      <c r="C8" s="59"/>
      <c r="D8" s="59"/>
      <c r="E8" s="59"/>
      <c r="F8" s="59"/>
      <c r="G8" s="44" t="str">
        <f>IF(AND(WEEKDAY(B8,2)&gt;5,$C8=""),"",IF(E8&gt;0,(E8*60+F8)-(C8*60+D8)-H8+TRUNC(Info!$D$10*(I8/100)),IF(MID(C8,1,2)="Fl",0,Info!$D$10))-Info!$D$10)</f>
        <v/>
      </c>
      <c r="H8" s="185">
        <f>IF(AND(Info!$C$46&gt;0,$E8&gt;$C8),Info!$C$46,)</f>
        <v>0</v>
      </c>
      <c r="I8" s="185"/>
      <c r="J8" s="175" t="str">
        <f>Info!AL8</f>
        <v>Allhelgensdag</v>
      </c>
      <c r="K8" s="323"/>
      <c r="L8" s="338"/>
      <c r="M8" s="327"/>
      <c r="P8" s="243"/>
      <c r="Q8" s="243"/>
      <c r="R8" s="243"/>
      <c r="S8" s="243"/>
      <c r="T8" s="243"/>
      <c r="U8" s="243"/>
      <c r="V8" s="243"/>
      <c r="W8" s="243"/>
      <c r="X8" s="243"/>
      <c r="Y8" s="243"/>
      <c r="Z8" s="243"/>
    </row>
    <row r="9" spans="1:26" s="11" customFormat="1" x14ac:dyDescent="0.2">
      <c r="A9" s="148">
        <f t="shared" si="0"/>
        <v>45</v>
      </c>
      <c r="B9" s="68">
        <f t="shared" ref="B9:B36" si="1">B8+1</f>
        <v>41946</v>
      </c>
      <c r="C9" s="59"/>
      <c r="D9" s="59"/>
      <c r="E9" s="59"/>
      <c r="F9" s="59"/>
      <c r="G9" s="44">
        <f>IF(AND(WEEKDAY(B9,2)&gt;5,$C9=""),"",IF(E9&gt;0,(E9*60+F9)-(C9*60+D9)-H9+TRUNC(Info!$D$10*(I9/100)),IF(MID(C9,1,2)="Fl",0,Info!$D$10))-Info!$D$10)</f>
        <v>0</v>
      </c>
      <c r="H9" s="185">
        <f>IF(AND(Info!$C$46&gt;0,$E9&gt;$C9),Info!$C$46,)</f>
        <v>0</v>
      </c>
      <c r="I9" s="185"/>
      <c r="J9" s="175" t="str">
        <f>Info!AL9</f>
        <v/>
      </c>
      <c r="K9" s="323"/>
      <c r="L9" s="338"/>
      <c r="M9" s="327"/>
      <c r="P9" s="243"/>
      <c r="Q9" s="243"/>
      <c r="R9" s="243"/>
      <c r="S9" s="243"/>
      <c r="T9" s="243"/>
      <c r="U9" s="243"/>
      <c r="V9" s="243"/>
      <c r="W9" s="243"/>
      <c r="X9" s="243"/>
      <c r="Y9" s="243"/>
      <c r="Z9" s="243"/>
    </row>
    <row r="10" spans="1:26" s="11" customFormat="1" x14ac:dyDescent="0.2">
      <c r="A10" s="148" t="str">
        <f t="shared" si="0"/>
        <v/>
      </c>
      <c r="B10" s="68">
        <f t="shared" si="1"/>
        <v>41947</v>
      </c>
      <c r="C10" s="59"/>
      <c r="D10" s="59"/>
      <c r="E10" s="59"/>
      <c r="F10" s="59"/>
      <c r="G10" s="44">
        <f>IF(AND(WEEKDAY(B10,2)&gt;5,$C10=""),"",IF(E10&gt;0,(E10*60+F10)-(C10*60+D10)-H10+TRUNC(Info!$D$10*(I10/100)),IF(MID(C10,1,2)="Fl",0,Info!$D$10))-Info!$D$10)</f>
        <v>0</v>
      </c>
      <c r="H10" s="185">
        <f>IF(AND(Info!$C$46&gt;0,$E10&gt;$C10),Info!$C$46,)</f>
        <v>0</v>
      </c>
      <c r="I10" s="185"/>
      <c r="J10" s="175" t="str">
        <f>Info!AL10</f>
        <v/>
      </c>
      <c r="K10" s="323"/>
      <c r="L10" s="338"/>
      <c r="M10" s="327"/>
      <c r="P10" s="243"/>
      <c r="Q10" s="243"/>
      <c r="R10" s="243"/>
      <c r="S10" s="243"/>
      <c r="T10" s="243"/>
      <c r="U10" s="243"/>
      <c r="V10" s="243"/>
      <c r="W10" s="243"/>
      <c r="X10" s="243"/>
      <c r="Y10" s="243"/>
      <c r="Z10" s="243"/>
    </row>
    <row r="11" spans="1:26" s="11" customFormat="1" x14ac:dyDescent="0.2">
      <c r="A11" s="148" t="str">
        <f t="shared" si="0"/>
        <v/>
      </c>
      <c r="B11" s="68">
        <f t="shared" si="1"/>
        <v>41948</v>
      </c>
      <c r="C11" s="59"/>
      <c r="D11" s="59"/>
      <c r="E11" s="59"/>
      <c r="F11" s="59"/>
      <c r="G11" s="44">
        <f>IF(AND(WEEKDAY(B11,2)&gt;5,$C11=""),"",IF(E11&gt;0,(E11*60+F11)-(C11*60+D11)-H11+TRUNC(Info!$D$10*(I11/100)),IF(MID(C11,1,2)="Fl",0,Info!$D$10))-Info!$D$10)</f>
        <v>0</v>
      </c>
      <c r="H11" s="185">
        <f>IF(AND(Info!$C$46&gt;0,$E11&gt;$C11),Info!$C$46,)</f>
        <v>0</v>
      </c>
      <c r="I11" s="185"/>
      <c r="J11" s="175" t="str">
        <f>Info!AL11</f>
        <v/>
      </c>
      <c r="K11" s="323"/>
      <c r="L11" s="338"/>
      <c r="M11" s="328"/>
      <c r="P11" s="243"/>
      <c r="Q11" s="243"/>
      <c r="R11" s="243"/>
      <c r="S11" s="243"/>
      <c r="T11" s="243"/>
      <c r="U11" s="243"/>
      <c r="V11" s="243"/>
      <c r="W11" s="243"/>
      <c r="X11" s="243"/>
      <c r="Y11" s="243"/>
      <c r="Z11" s="243"/>
    </row>
    <row r="12" spans="1:26" x14ac:dyDescent="0.2">
      <c r="A12" s="148" t="str">
        <f t="shared" si="0"/>
        <v/>
      </c>
      <c r="B12" s="68">
        <f t="shared" si="1"/>
        <v>41949</v>
      </c>
      <c r="C12" s="59"/>
      <c r="D12" s="59"/>
      <c r="E12" s="59"/>
      <c r="F12" s="59"/>
      <c r="G12" s="44">
        <f>IF(AND(WEEKDAY(B12,2)&gt;5,$C12=""),"",IF(E12&gt;0,(E12*60+F12)-(C12*60+D12)-H12+TRUNC(Info!$D$10*(I12/100)),IF(MID(C12,1,2)="Fl",0,Info!$D$10))-Info!$D$10)</f>
        <v>0</v>
      </c>
      <c r="H12" s="185">
        <f>IF(AND(Info!$C$46&gt;0,$E12&gt;$C12),Info!$C$46,)</f>
        <v>0</v>
      </c>
      <c r="I12" s="185"/>
      <c r="J12" s="175" t="str">
        <f>Info!AL12</f>
        <v/>
      </c>
      <c r="K12" s="323"/>
      <c r="L12" s="338"/>
      <c r="M12" s="140"/>
    </row>
    <row r="13" spans="1:26" s="11" customFormat="1" x14ac:dyDescent="0.2">
      <c r="A13" s="148" t="str">
        <f t="shared" si="0"/>
        <v/>
      </c>
      <c r="B13" s="68">
        <f t="shared" si="1"/>
        <v>41950</v>
      </c>
      <c r="C13" s="59"/>
      <c r="D13" s="59"/>
      <c r="E13" s="59"/>
      <c r="F13" s="59"/>
      <c r="G13" s="44">
        <f>IF(AND(WEEKDAY(B13,2)&gt;5,$C13=""),"",IF(E13&gt;0,(E13*60+F13)-(C13*60+D13)-H13+TRUNC(Info!$D$10*(I13/100)),IF(MID(C13,1,2)="Fl",0,Info!$D$10))-Info!$D$10)</f>
        <v>0</v>
      </c>
      <c r="H13" s="185">
        <f>IF(AND(Info!$C$46&gt;0,$E13&gt;$C13),Info!$C$46,)</f>
        <v>0</v>
      </c>
      <c r="I13" s="185"/>
      <c r="J13" s="175" t="str">
        <f>Info!AL13</f>
        <v/>
      </c>
      <c r="K13" s="323"/>
      <c r="L13" s="338"/>
      <c r="M13" s="327"/>
      <c r="P13" s="243"/>
      <c r="Q13" s="243"/>
      <c r="R13" s="243"/>
      <c r="S13" s="243"/>
      <c r="T13" s="243"/>
      <c r="U13" s="243"/>
      <c r="V13" s="243"/>
      <c r="W13" s="243"/>
      <c r="X13" s="243"/>
      <c r="Y13" s="243"/>
      <c r="Z13" s="243"/>
    </row>
    <row r="14" spans="1:26" s="11" customFormat="1" x14ac:dyDescent="0.2">
      <c r="A14" s="148" t="str">
        <f t="shared" si="0"/>
        <v/>
      </c>
      <c r="B14" s="68">
        <f t="shared" si="1"/>
        <v>41951</v>
      </c>
      <c r="C14" s="59"/>
      <c r="D14" s="59"/>
      <c r="E14" s="59"/>
      <c r="F14" s="59"/>
      <c r="G14" s="44" t="str">
        <f>IF(AND(WEEKDAY(B14,2)&gt;5,$C14=""),"",IF(E14&gt;0,(E14*60+F14)-(C14*60+D14)-H14+TRUNC(Info!$D$10*(I14/100)),IF(MID(C14,1,2)="Fl",0,Info!$D$10))-Info!$D$10)</f>
        <v/>
      </c>
      <c r="H14" s="185">
        <f>IF(AND(Info!$C$46&gt;0,$E14&gt;$C14),Info!$C$46,)</f>
        <v>0</v>
      </c>
      <c r="I14" s="185"/>
      <c r="J14" s="175" t="str">
        <f>Info!AL14</f>
        <v/>
      </c>
      <c r="K14" s="323"/>
      <c r="L14" s="338"/>
      <c r="M14" s="327"/>
      <c r="P14" s="243"/>
      <c r="Q14" s="243"/>
      <c r="R14" s="243"/>
      <c r="S14" s="243"/>
      <c r="T14" s="243"/>
      <c r="U14" s="243"/>
      <c r="V14" s="243"/>
      <c r="W14" s="243"/>
      <c r="X14" s="243"/>
      <c r="Y14" s="243"/>
      <c r="Z14" s="243"/>
    </row>
    <row r="15" spans="1:26" s="11" customFormat="1" x14ac:dyDescent="0.2">
      <c r="A15" s="148" t="str">
        <f t="shared" si="0"/>
        <v/>
      </c>
      <c r="B15" s="68">
        <f t="shared" si="1"/>
        <v>41952</v>
      </c>
      <c r="C15" s="59"/>
      <c r="D15" s="59"/>
      <c r="E15" s="59"/>
      <c r="F15" s="59"/>
      <c r="G15" s="44" t="str">
        <f>IF(AND(WEEKDAY(B15,2)&gt;5,$C15=""),"",IF(E15&gt;0,(E15*60+F15)-(C15*60+D15)-H15+TRUNC(Info!$D$10*(I15/100)),IF(MID(C15,1,2)="Fl",0,Info!$D$10))-Info!$D$10)</f>
        <v/>
      </c>
      <c r="H15" s="185">
        <f>IF(AND(Info!$C$46&gt;0,$E15&gt;$C15),Info!$C$46,)</f>
        <v>0</v>
      </c>
      <c r="I15" s="185"/>
      <c r="J15" s="175" t="str">
        <f>Info!AL15</f>
        <v>Farsdag</v>
      </c>
      <c r="K15" s="323"/>
      <c r="L15" s="338"/>
      <c r="M15" s="327"/>
      <c r="P15" s="243"/>
      <c r="Q15" s="243"/>
      <c r="R15" s="243"/>
      <c r="S15" s="243"/>
      <c r="T15" s="243"/>
      <c r="U15" s="243"/>
      <c r="V15" s="243"/>
      <c r="W15" s="243"/>
      <c r="X15" s="243"/>
      <c r="Y15" s="243"/>
      <c r="Z15" s="243"/>
    </row>
    <row r="16" spans="1:26" s="11" customFormat="1" x14ac:dyDescent="0.2">
      <c r="A16" s="148">
        <f t="shared" si="0"/>
        <v>46</v>
      </c>
      <c r="B16" s="68">
        <f t="shared" si="1"/>
        <v>41953</v>
      </c>
      <c r="C16" s="59"/>
      <c r="D16" s="59"/>
      <c r="E16" s="59"/>
      <c r="F16" s="59"/>
      <c r="G16" s="44">
        <f>IF(AND(WEEKDAY(B16,2)&gt;5,$C16=""),"",IF(E16&gt;0,(E16*60+F16)-(C16*60+D16)-H16+TRUNC(Info!$D$10*(I16/100)),IF(MID(C16,1,2)="Fl",0,Info!$D$10))-Info!$D$10)</f>
        <v>0</v>
      </c>
      <c r="H16" s="185">
        <f>IF(AND(Info!$C$46&gt;0,$E16&gt;$C16),Info!$C$46,)</f>
        <v>0</v>
      </c>
      <c r="I16" s="185"/>
      <c r="J16" s="175" t="str">
        <f>Info!AL16</f>
        <v/>
      </c>
      <c r="K16" s="323"/>
      <c r="L16" s="338"/>
      <c r="M16" s="327"/>
      <c r="P16" s="243"/>
      <c r="Q16" s="243"/>
      <c r="R16" s="243"/>
      <c r="S16" s="243"/>
      <c r="T16" s="243"/>
      <c r="U16" s="243"/>
      <c r="V16" s="243"/>
      <c r="W16" s="243"/>
      <c r="X16" s="243"/>
      <c r="Y16" s="243"/>
      <c r="Z16" s="243"/>
    </row>
    <row r="17" spans="1:26" s="11" customFormat="1" x14ac:dyDescent="0.2">
      <c r="A17" s="148" t="str">
        <f t="shared" si="0"/>
        <v/>
      </c>
      <c r="B17" s="68">
        <f t="shared" si="1"/>
        <v>41954</v>
      </c>
      <c r="C17" s="59"/>
      <c r="D17" s="59"/>
      <c r="E17" s="59"/>
      <c r="F17" s="59"/>
      <c r="G17" s="44">
        <f>IF(AND(WEEKDAY(B17,2)&gt;5,$C17=""),"",IF(E17&gt;0,(E17*60+F17)-(C17*60+D17)-H17+TRUNC(Info!$D$10*(I17/100)),IF(MID(C17,1,2)="Fl",0,Info!$D$10))-Info!$D$10)</f>
        <v>0</v>
      </c>
      <c r="H17" s="185">
        <f>IF(AND(Info!$C$46&gt;0,$E17&gt;$C17),Info!$C$46,)</f>
        <v>0</v>
      </c>
      <c r="I17" s="185"/>
      <c r="J17" s="175" t="str">
        <f>Info!AL17</f>
        <v/>
      </c>
      <c r="K17" s="323"/>
      <c r="L17" s="338"/>
      <c r="M17" s="327"/>
      <c r="P17" s="243"/>
      <c r="Q17" s="243"/>
      <c r="R17" s="243"/>
      <c r="S17" s="243"/>
      <c r="T17" s="243"/>
      <c r="U17" s="243"/>
      <c r="V17" s="243"/>
      <c r="W17" s="243"/>
      <c r="X17" s="243"/>
      <c r="Y17" s="243"/>
      <c r="Z17" s="243"/>
    </row>
    <row r="18" spans="1:26" s="11" customFormat="1" x14ac:dyDescent="0.2">
      <c r="A18" s="148" t="str">
        <f t="shared" si="0"/>
        <v/>
      </c>
      <c r="B18" s="68">
        <f t="shared" si="1"/>
        <v>41955</v>
      </c>
      <c r="C18" s="59"/>
      <c r="D18" s="59"/>
      <c r="E18" s="59"/>
      <c r="F18" s="59"/>
      <c r="G18" s="44">
        <f>IF(AND(WEEKDAY(B18,2)&gt;5,$C18=""),"",IF(E18&gt;0,(E18*60+F18)-(C18*60+D18)-H18+TRUNC(Info!$D$10*(I18/100)),IF(MID(C18,1,2)="Fl",0,Info!$D$10))-Info!$D$10)</f>
        <v>0</v>
      </c>
      <c r="H18" s="185">
        <f>IF(AND(Info!$C$46&gt;0,$E18&gt;$C18),Info!$C$46,)</f>
        <v>0</v>
      </c>
      <c r="I18" s="185"/>
      <c r="J18" s="175" t="str">
        <f>Info!AL18</f>
        <v/>
      </c>
      <c r="K18" s="323"/>
      <c r="L18" s="338"/>
      <c r="M18" s="327"/>
      <c r="P18" s="243"/>
      <c r="Q18" s="243"/>
      <c r="R18" s="243"/>
      <c r="S18" s="243"/>
      <c r="T18" s="243"/>
      <c r="U18" s="243"/>
      <c r="V18" s="243"/>
      <c r="W18" s="243"/>
      <c r="X18" s="243"/>
      <c r="Y18" s="243"/>
      <c r="Z18" s="243"/>
    </row>
    <row r="19" spans="1:26" s="11" customFormat="1" x14ac:dyDescent="0.2">
      <c r="A19" s="148" t="str">
        <f t="shared" si="0"/>
        <v/>
      </c>
      <c r="B19" s="68">
        <f t="shared" si="1"/>
        <v>41956</v>
      </c>
      <c r="C19" s="59"/>
      <c r="D19" s="59"/>
      <c r="E19" s="59"/>
      <c r="F19" s="59"/>
      <c r="G19" s="44">
        <f>IF(AND(WEEKDAY(B19,2)&gt;5,$C19=""),"",IF(E19&gt;0,(E19*60+F19)-(C19*60+D19)-H19+TRUNC(Info!$D$10*(I19/100)),IF(MID(C19,1,2)="Fl",0,Info!$D$10))-Info!$D$10)</f>
        <v>0</v>
      </c>
      <c r="H19" s="185">
        <f>IF(AND(Info!$C$46&gt;0,$E19&gt;$C19),Info!$C$46,)</f>
        <v>0</v>
      </c>
      <c r="I19" s="185"/>
      <c r="J19" s="175" t="str">
        <f>Info!AL19</f>
        <v/>
      </c>
      <c r="K19" s="323"/>
      <c r="L19" s="338"/>
      <c r="M19" s="327"/>
      <c r="P19" s="243"/>
      <c r="Q19" s="243"/>
      <c r="R19" s="243"/>
      <c r="S19" s="243"/>
      <c r="T19" s="243"/>
      <c r="U19" s="243"/>
      <c r="V19" s="243"/>
      <c r="W19" s="243"/>
      <c r="X19" s="243"/>
      <c r="Y19" s="243"/>
      <c r="Z19" s="243"/>
    </row>
    <row r="20" spans="1:26" s="11" customFormat="1" x14ac:dyDescent="0.2">
      <c r="A20" s="148" t="str">
        <f t="shared" si="0"/>
        <v/>
      </c>
      <c r="B20" s="68">
        <f t="shared" si="1"/>
        <v>41957</v>
      </c>
      <c r="C20" s="59"/>
      <c r="D20" s="59"/>
      <c r="E20" s="59"/>
      <c r="F20" s="59"/>
      <c r="G20" s="44">
        <f>IF(AND(WEEKDAY(B20,2)&gt;5,$C20=""),"",IF(E20&gt;0,(E20*60+F20)-(C20*60+D20)-H20+TRUNC(Info!$D$10*(I20/100)),IF(MID(C20,1,2)="Fl",0,Info!$D$10))-Info!$D$10)</f>
        <v>0</v>
      </c>
      <c r="H20" s="185">
        <f>IF(AND(Info!$C$46&gt;0,$E20&gt;$C20),Info!$C$46,)</f>
        <v>0</v>
      </c>
      <c r="I20" s="185"/>
      <c r="J20" s="175" t="str">
        <f>Info!AL20</f>
        <v/>
      </c>
      <c r="K20" s="323"/>
      <c r="L20" s="338"/>
      <c r="M20" s="327"/>
      <c r="P20" s="243"/>
      <c r="Q20" s="243"/>
      <c r="R20" s="243"/>
      <c r="S20" s="243"/>
      <c r="T20" s="243"/>
      <c r="U20" s="243"/>
      <c r="V20" s="243"/>
      <c r="W20" s="243"/>
      <c r="X20" s="243"/>
      <c r="Y20" s="243"/>
      <c r="Z20" s="243"/>
    </row>
    <row r="21" spans="1:26" s="11" customFormat="1" x14ac:dyDescent="0.2">
      <c r="A21" s="148" t="str">
        <f t="shared" si="0"/>
        <v/>
      </c>
      <c r="B21" s="68">
        <f t="shared" si="1"/>
        <v>41958</v>
      </c>
      <c r="C21" s="59"/>
      <c r="D21" s="59"/>
      <c r="E21" s="59"/>
      <c r="F21" s="59"/>
      <c r="G21" s="44" t="str">
        <f>IF(AND(WEEKDAY(B21,2)&gt;5,$C21=""),"",IF(E21&gt;0,(E21*60+F21)-(C21*60+D21)-H21+TRUNC(Info!$D$10*(I21/100)),IF(MID(C21,1,2)="Fl",0,Info!$D$10))-Info!$D$10)</f>
        <v/>
      </c>
      <c r="H21" s="185">
        <f>IF(AND(Info!$C$46&gt;0,$E21&gt;$C21),Info!$C$46,)</f>
        <v>0</v>
      </c>
      <c r="I21" s="185"/>
      <c r="J21" s="175" t="str">
        <f>Info!AL21</f>
        <v/>
      </c>
      <c r="K21" s="323"/>
      <c r="L21" s="338"/>
      <c r="M21" s="327"/>
      <c r="P21" s="243"/>
      <c r="Q21" s="243"/>
      <c r="R21" s="243"/>
      <c r="S21" s="243"/>
      <c r="T21" s="243"/>
      <c r="U21" s="243"/>
      <c r="V21" s="243"/>
      <c r="W21" s="243"/>
      <c r="X21" s="243"/>
      <c r="Y21" s="243"/>
      <c r="Z21" s="243"/>
    </row>
    <row r="22" spans="1:26" s="11" customFormat="1" x14ac:dyDescent="0.2">
      <c r="A22" s="148" t="str">
        <f t="shared" si="0"/>
        <v/>
      </c>
      <c r="B22" s="68">
        <f t="shared" si="1"/>
        <v>41959</v>
      </c>
      <c r="C22" s="59"/>
      <c r="D22" s="59"/>
      <c r="E22" s="59"/>
      <c r="F22" s="59"/>
      <c r="G22" s="44" t="str">
        <f>IF(AND(WEEKDAY(B22,2)&gt;5,$C22=""),"",IF(E22&gt;0,(E22*60+F22)-(C22*60+D22)-H22+TRUNC(Info!$D$10*(I22/100)),IF(MID(C22,1,2)="Fl",0,Info!$D$10))-Info!$D$10)</f>
        <v/>
      </c>
      <c r="H22" s="185">
        <f>IF(AND(Info!$C$46&gt;0,$E22&gt;$C22),Info!$C$46,)</f>
        <v>0</v>
      </c>
      <c r="I22" s="185"/>
      <c r="J22" s="175" t="str">
        <f>Info!AL22</f>
        <v/>
      </c>
      <c r="K22" s="323"/>
      <c r="L22" s="338"/>
      <c r="M22" s="327"/>
      <c r="P22" s="243"/>
      <c r="Q22" s="243"/>
      <c r="R22" s="243"/>
      <c r="S22" s="243"/>
      <c r="T22" s="243"/>
      <c r="U22" s="243"/>
      <c r="V22" s="243"/>
      <c r="W22" s="243"/>
      <c r="X22" s="243"/>
      <c r="Y22" s="243"/>
      <c r="Z22" s="243"/>
    </row>
    <row r="23" spans="1:26" s="11" customFormat="1" x14ac:dyDescent="0.2">
      <c r="A23" s="148">
        <f t="shared" si="0"/>
        <v>47</v>
      </c>
      <c r="B23" s="68">
        <f t="shared" si="1"/>
        <v>41960</v>
      </c>
      <c r="C23" s="59"/>
      <c r="D23" s="59"/>
      <c r="E23" s="59"/>
      <c r="F23" s="59"/>
      <c r="G23" s="44">
        <f>IF(AND(WEEKDAY(B23,2)&gt;5,$C23=""),"",IF(E23&gt;0,(E23*60+F23)-(C23*60+D23)-H23+TRUNC(Info!$D$10*(I23/100)),IF(MID(C23,1,2)="Fl",0,Info!$D$10))-Info!$D$10)</f>
        <v>0</v>
      </c>
      <c r="H23" s="185">
        <f>IF(AND(Info!$C$46&gt;0,$E23&gt;$C23),Info!$C$46,)</f>
        <v>0</v>
      </c>
      <c r="I23" s="185"/>
      <c r="J23" s="175" t="str">
        <f>Info!AL23</f>
        <v/>
      </c>
      <c r="K23" s="323"/>
      <c r="L23" s="338"/>
      <c r="M23" s="327"/>
      <c r="P23" s="243"/>
      <c r="Q23" s="243"/>
      <c r="R23" s="243"/>
      <c r="S23" s="243"/>
      <c r="T23" s="243"/>
      <c r="U23" s="243"/>
      <c r="V23" s="243"/>
      <c r="W23" s="243"/>
      <c r="X23" s="243"/>
      <c r="Y23" s="243"/>
      <c r="Z23" s="243"/>
    </row>
    <row r="24" spans="1:26" s="11" customFormat="1" x14ac:dyDescent="0.2">
      <c r="A24" s="148" t="str">
        <f t="shared" si="0"/>
        <v/>
      </c>
      <c r="B24" s="68">
        <f t="shared" si="1"/>
        <v>41961</v>
      </c>
      <c r="C24" s="59"/>
      <c r="D24" s="59"/>
      <c r="E24" s="59"/>
      <c r="F24" s="59"/>
      <c r="G24" s="44">
        <f>IF(AND(WEEKDAY(B24,2)&gt;5,$C24=""),"",IF(E24&gt;0,(E24*60+F24)-(C24*60+D24)-H24+TRUNC(Info!$D$10*(I24/100)),IF(MID(C24,1,2)="Fl",0,Info!$D$10))-Info!$D$10)</f>
        <v>0</v>
      </c>
      <c r="H24" s="185">
        <f>IF(AND(Info!$C$46&gt;0,$E24&gt;$C24),Info!$C$46,)</f>
        <v>0</v>
      </c>
      <c r="I24" s="185"/>
      <c r="J24" s="175" t="str">
        <f>Info!AL24</f>
        <v/>
      </c>
      <c r="K24" s="323"/>
      <c r="L24" s="338"/>
      <c r="M24" s="327"/>
      <c r="P24" s="243"/>
      <c r="Q24" s="243"/>
      <c r="R24" s="243"/>
      <c r="S24" s="243"/>
      <c r="T24" s="243"/>
      <c r="U24" s="243"/>
      <c r="V24" s="243"/>
      <c r="W24" s="243"/>
      <c r="X24" s="243"/>
      <c r="Y24" s="243"/>
      <c r="Z24" s="243"/>
    </row>
    <row r="25" spans="1:26" s="11" customFormat="1" x14ac:dyDescent="0.2">
      <c r="A25" s="148" t="str">
        <f t="shared" si="0"/>
        <v/>
      </c>
      <c r="B25" s="68">
        <f t="shared" si="1"/>
        <v>41962</v>
      </c>
      <c r="C25" s="59"/>
      <c r="D25" s="59"/>
      <c r="E25" s="59"/>
      <c r="F25" s="59"/>
      <c r="G25" s="44">
        <f>IF(AND(WEEKDAY(B25,2)&gt;5,$C25=""),"",IF(E25&gt;0,(E25*60+F25)-(C25*60+D25)-H25+TRUNC(Info!$D$10*(I25/100)),IF(MID(C25,1,2)="Fl",0,Info!$D$10))-Info!$D$10)</f>
        <v>0</v>
      </c>
      <c r="H25" s="185">
        <f>IF(AND(Info!$C$46&gt;0,$E25&gt;$C25),Info!$C$46,)</f>
        <v>0</v>
      </c>
      <c r="I25" s="185"/>
      <c r="J25" s="175" t="str">
        <f>Info!AL25</f>
        <v/>
      </c>
      <c r="K25" s="323"/>
      <c r="L25" s="338"/>
      <c r="M25" s="327"/>
      <c r="P25" s="243"/>
      <c r="Q25" s="243"/>
      <c r="R25" s="243"/>
      <c r="S25" s="243"/>
      <c r="T25" s="243"/>
      <c r="U25" s="243"/>
      <c r="V25" s="243"/>
      <c r="W25" s="243"/>
      <c r="X25" s="243"/>
      <c r="Y25" s="243"/>
      <c r="Z25" s="243"/>
    </row>
    <row r="26" spans="1:26" s="11" customFormat="1" x14ac:dyDescent="0.2">
      <c r="A26" s="148" t="str">
        <f t="shared" si="0"/>
        <v/>
      </c>
      <c r="B26" s="68">
        <f t="shared" si="1"/>
        <v>41963</v>
      </c>
      <c r="C26" s="59"/>
      <c r="D26" s="59"/>
      <c r="E26" s="59"/>
      <c r="F26" s="59"/>
      <c r="G26" s="44">
        <f>IF(AND(WEEKDAY(B26,2)&gt;5,$C26=""),"",IF(E26&gt;0,(E26*60+F26)-(C26*60+D26)-H26+TRUNC(Info!$D$10*(I26/100)),IF(MID(C26,1,2)="Fl",0,Info!$D$10))-Info!$D$10)</f>
        <v>0</v>
      </c>
      <c r="H26" s="185">
        <f>IF(AND(Info!$C$46&gt;0,$E26&gt;$C26),Info!$C$46,)</f>
        <v>0</v>
      </c>
      <c r="I26" s="185"/>
      <c r="J26" s="175" t="str">
        <f>Info!AL26</f>
        <v/>
      </c>
      <c r="K26" s="323"/>
      <c r="L26" s="338"/>
      <c r="M26" s="327"/>
      <c r="P26" s="243"/>
      <c r="Q26" s="243"/>
      <c r="R26" s="243"/>
      <c r="S26" s="243"/>
      <c r="T26" s="243"/>
      <c r="U26" s="243"/>
      <c r="V26" s="243"/>
      <c r="W26" s="243"/>
      <c r="X26" s="243"/>
      <c r="Y26" s="243"/>
      <c r="Z26" s="243"/>
    </row>
    <row r="27" spans="1:26" s="11" customFormat="1" x14ac:dyDescent="0.2">
      <c r="A27" s="148" t="str">
        <f t="shared" si="0"/>
        <v/>
      </c>
      <c r="B27" s="68">
        <f t="shared" si="1"/>
        <v>41964</v>
      </c>
      <c r="C27" s="59"/>
      <c r="D27" s="59"/>
      <c r="E27" s="59"/>
      <c r="F27" s="59"/>
      <c r="G27" s="44">
        <f>IF(AND(WEEKDAY(B27,2)&gt;5,$C27=""),"",IF(E27&gt;0,(E27*60+F27)-(C27*60+D27)-H27+TRUNC(Info!$D$10*(I27/100)),IF(MID(C27,1,2)="Fl",0,Info!$D$10))-Info!$D$10)</f>
        <v>0</v>
      </c>
      <c r="H27" s="185">
        <f>IF(AND(Info!$C$46&gt;0,$E27&gt;$C27),Info!$C$46,)</f>
        <v>0</v>
      </c>
      <c r="I27" s="185"/>
      <c r="J27" s="175" t="str">
        <f>Info!AL27</f>
        <v/>
      </c>
      <c r="K27" s="323"/>
      <c r="L27" s="338"/>
      <c r="M27" s="327"/>
      <c r="P27" s="243"/>
      <c r="Q27" s="243"/>
      <c r="R27" s="243"/>
      <c r="S27" s="243"/>
      <c r="T27" s="243"/>
      <c r="U27" s="243"/>
      <c r="V27" s="243"/>
      <c r="W27" s="243"/>
      <c r="X27" s="243"/>
      <c r="Y27" s="243"/>
      <c r="Z27" s="243"/>
    </row>
    <row r="28" spans="1:26" s="11" customFormat="1" x14ac:dyDescent="0.2">
      <c r="A28" s="148" t="str">
        <f t="shared" si="0"/>
        <v/>
      </c>
      <c r="B28" s="68">
        <f t="shared" si="1"/>
        <v>41965</v>
      </c>
      <c r="C28" s="59"/>
      <c r="D28" s="59"/>
      <c r="E28" s="59"/>
      <c r="F28" s="59"/>
      <c r="G28" s="44" t="str">
        <f>IF(AND(WEEKDAY(B28,2)&gt;5,$C28=""),"",IF(E28&gt;0,(E28*60+F28)-(C28*60+D28)-H28+TRUNC(Info!$D$10*(I28/100)),IF(MID(C28,1,2)="Fl",0,Info!$D$10))-Info!$D$10)</f>
        <v/>
      </c>
      <c r="H28" s="185">
        <f>IF(AND(Info!$C$46&gt;0,$E28&gt;$C28),Info!$C$46,)</f>
        <v>0</v>
      </c>
      <c r="I28" s="185"/>
      <c r="J28" s="175" t="str">
        <f>Info!AL28</f>
        <v/>
      </c>
      <c r="K28" s="323"/>
      <c r="L28" s="338"/>
      <c r="M28" s="327"/>
      <c r="P28" s="243"/>
      <c r="Q28" s="243"/>
      <c r="R28" s="243"/>
      <c r="S28" s="243"/>
      <c r="T28" s="243"/>
      <c r="U28" s="243"/>
      <c r="V28" s="243"/>
      <c r="W28" s="243"/>
      <c r="X28" s="243"/>
      <c r="Y28" s="243"/>
      <c r="Z28" s="243"/>
    </row>
    <row r="29" spans="1:26" s="11" customFormat="1" x14ac:dyDescent="0.2">
      <c r="A29" s="148" t="str">
        <f t="shared" si="0"/>
        <v/>
      </c>
      <c r="B29" s="68">
        <f t="shared" si="1"/>
        <v>41966</v>
      </c>
      <c r="C29" s="59"/>
      <c r="D29" s="59"/>
      <c r="E29" s="59"/>
      <c r="F29" s="59"/>
      <c r="G29" s="44" t="str">
        <f>IF(AND(WEEKDAY(B29,2)&gt;5,$C29=""),"",IF(E29&gt;0,(E29*60+F29)-(C29*60+D29)-H29+TRUNC(Info!$D$10*(I29/100)),IF(MID(C29,1,2)="Fl",0,Info!$D$10))-Info!$D$10)</f>
        <v/>
      </c>
      <c r="H29" s="185">
        <f>IF(AND(Info!$C$46&gt;0,$E29&gt;$C29),Info!$C$46,)</f>
        <v>0</v>
      </c>
      <c r="I29" s="185"/>
      <c r="J29" s="175" t="str">
        <f>Info!AL29</f>
        <v/>
      </c>
      <c r="K29" s="323"/>
      <c r="L29" s="338"/>
      <c r="M29" s="327"/>
      <c r="P29" s="243"/>
      <c r="Q29" s="243"/>
      <c r="R29" s="243"/>
      <c r="S29" s="243"/>
      <c r="T29" s="243"/>
      <c r="U29" s="243"/>
      <c r="V29" s="243"/>
      <c r="W29" s="243"/>
      <c r="X29" s="243"/>
      <c r="Y29" s="243"/>
      <c r="Z29" s="243"/>
    </row>
    <row r="30" spans="1:26" s="11" customFormat="1" x14ac:dyDescent="0.2">
      <c r="A30" s="148">
        <f t="shared" si="0"/>
        <v>48</v>
      </c>
      <c r="B30" s="68">
        <f t="shared" si="1"/>
        <v>41967</v>
      </c>
      <c r="C30" s="59"/>
      <c r="D30" s="59"/>
      <c r="E30" s="59"/>
      <c r="F30" s="59"/>
      <c r="G30" s="44">
        <f>IF(AND(WEEKDAY(B30,2)&gt;5,$C30=""),"",IF(E30&gt;0,(E30*60+F30)-(C30*60+D30)-H30+TRUNC(Info!$D$10*(I30/100)),IF(MID(C30,1,2)="Fl",0,Info!$D$10))-Info!$D$10)</f>
        <v>0</v>
      </c>
      <c r="H30" s="185">
        <f>IF(AND(Info!$C$46&gt;0,$E30&gt;$C30),Info!$C$46,)</f>
        <v>0</v>
      </c>
      <c r="I30" s="185"/>
      <c r="J30" s="175" t="str">
        <f>Info!AL30</f>
        <v/>
      </c>
      <c r="K30" s="323"/>
      <c r="L30" s="338"/>
      <c r="M30" s="327"/>
      <c r="P30" s="243"/>
      <c r="Q30" s="243"/>
      <c r="R30" s="243"/>
      <c r="S30" s="243"/>
      <c r="T30" s="243"/>
      <c r="U30" s="243"/>
      <c r="V30" s="243"/>
      <c r="W30" s="243"/>
      <c r="X30" s="243"/>
      <c r="Y30" s="243"/>
      <c r="Z30" s="243"/>
    </row>
    <row r="31" spans="1:26" s="11" customFormat="1" x14ac:dyDescent="0.2">
      <c r="A31" s="148" t="str">
        <f t="shared" si="0"/>
        <v/>
      </c>
      <c r="B31" s="68">
        <f t="shared" si="1"/>
        <v>41968</v>
      </c>
      <c r="C31" s="59"/>
      <c r="D31" s="59"/>
      <c r="E31" s="59"/>
      <c r="F31" s="59"/>
      <c r="G31" s="44">
        <f>IF(AND(WEEKDAY(B31,2)&gt;5,$C31=""),"",IF(E31&gt;0,(E31*60+F31)-(C31*60+D31)-H31+TRUNC(Info!$D$10*(I31/100)),IF(MID(C31,1,2)="Fl",0,Info!$D$10))-Info!$D$10)</f>
        <v>0</v>
      </c>
      <c r="H31" s="185">
        <f>IF(AND(Info!$C$46&gt;0,$E31&gt;$C31),Info!$C$46,)</f>
        <v>0</v>
      </c>
      <c r="I31" s="185"/>
      <c r="J31" s="175" t="str">
        <f>Info!AL31</f>
        <v/>
      </c>
      <c r="K31" s="323"/>
      <c r="L31" s="338"/>
      <c r="M31" s="327"/>
      <c r="P31" s="243"/>
      <c r="Q31" s="243"/>
      <c r="R31" s="243"/>
      <c r="S31" s="243"/>
      <c r="T31" s="243"/>
      <c r="U31" s="243"/>
      <c r="V31" s="243"/>
      <c r="W31" s="243"/>
      <c r="X31" s="243"/>
      <c r="Y31" s="243"/>
      <c r="Z31" s="243"/>
    </row>
    <row r="32" spans="1:26" s="11" customFormat="1" x14ac:dyDescent="0.2">
      <c r="A32" s="148" t="str">
        <f t="shared" si="0"/>
        <v/>
      </c>
      <c r="B32" s="68">
        <f t="shared" si="1"/>
        <v>41969</v>
      </c>
      <c r="C32" s="59"/>
      <c r="D32" s="59"/>
      <c r="E32" s="59"/>
      <c r="F32" s="59"/>
      <c r="G32" s="44">
        <f>IF(AND(WEEKDAY(B32,2)&gt;5,$C32=""),"",IF(E32&gt;0,(E32*60+F32)-(C32*60+D32)-H32+TRUNC(Info!$D$10*(I32/100)),IF(MID(C32,1,2)="Fl",0,Info!$D$10))-Info!$D$10)</f>
        <v>0</v>
      </c>
      <c r="H32" s="185">
        <f>IF(AND(Info!$C$46&gt;0,$E32&gt;$C32),Info!$C$46,)</f>
        <v>0</v>
      </c>
      <c r="I32" s="185"/>
      <c r="J32" s="175" t="str">
        <f>Info!AL32</f>
        <v/>
      </c>
      <c r="K32" s="323"/>
      <c r="L32" s="338"/>
      <c r="M32" s="327"/>
      <c r="P32" s="243"/>
      <c r="Q32" s="243"/>
      <c r="R32" s="243"/>
      <c r="S32" s="243"/>
      <c r="T32" s="243"/>
      <c r="U32" s="243"/>
      <c r="V32" s="243"/>
      <c r="W32" s="243"/>
      <c r="X32" s="243"/>
      <c r="Y32" s="243"/>
      <c r="Z32" s="243"/>
    </row>
    <row r="33" spans="1:26" s="11" customFormat="1" x14ac:dyDescent="0.2">
      <c r="A33" s="148" t="str">
        <f t="shared" si="0"/>
        <v/>
      </c>
      <c r="B33" s="68">
        <f t="shared" si="1"/>
        <v>41970</v>
      </c>
      <c r="C33" s="59"/>
      <c r="D33" s="59"/>
      <c r="E33" s="59"/>
      <c r="F33" s="59"/>
      <c r="G33" s="44">
        <f>IF(AND(WEEKDAY(B33,2)&gt;5,$C33=""),"",IF(E33&gt;0,(E33*60+F33)-(C33*60+D33)-H33+TRUNC(Info!$D$10*(I33/100)),IF(MID(C33,1,2)="Fl",0,Info!$D$10))-Info!$D$10)</f>
        <v>0</v>
      </c>
      <c r="H33" s="185">
        <f>IF(AND(Info!$C$46&gt;0,$E33&gt;$C33),Info!$C$46,)</f>
        <v>0</v>
      </c>
      <c r="I33" s="185"/>
      <c r="J33" s="175" t="str">
        <f>Info!AL33</f>
        <v/>
      </c>
      <c r="K33" s="323"/>
      <c r="L33" s="338"/>
      <c r="M33" s="327"/>
      <c r="P33" s="243"/>
      <c r="Q33" s="243"/>
      <c r="R33" s="243"/>
      <c r="S33" s="243"/>
      <c r="T33" s="243"/>
      <c r="U33" s="243"/>
      <c r="V33" s="243"/>
      <c r="W33" s="243"/>
      <c r="X33" s="243"/>
      <c r="Y33" s="243"/>
      <c r="Z33" s="243"/>
    </row>
    <row r="34" spans="1:26" s="11" customFormat="1" x14ac:dyDescent="0.2">
      <c r="A34" s="148" t="str">
        <f t="shared" si="0"/>
        <v/>
      </c>
      <c r="B34" s="68">
        <f t="shared" si="1"/>
        <v>41971</v>
      </c>
      <c r="C34" s="59"/>
      <c r="D34" s="59"/>
      <c r="E34" s="59"/>
      <c r="F34" s="59"/>
      <c r="G34" s="44">
        <f>IF(AND(WEEKDAY(B34,2)&gt;5,$C34=""),"",IF(E34&gt;0,(E34*60+F34)-(C34*60+D34)-H34+TRUNC(Info!$D$10*(I34/100)),IF(MID(C34,1,2)="Fl",0,Info!$D$10))-Info!$D$10)</f>
        <v>0</v>
      </c>
      <c r="H34" s="185">
        <f>IF(AND(Info!$C$46&gt;0,$E34&gt;$C34),Info!$C$46,)</f>
        <v>0</v>
      </c>
      <c r="I34" s="185"/>
      <c r="J34" s="175" t="str">
        <f>Info!AL34</f>
        <v/>
      </c>
      <c r="K34" s="323"/>
      <c r="L34" s="338"/>
      <c r="M34" s="327"/>
      <c r="P34" s="243"/>
      <c r="Q34" s="243"/>
      <c r="R34" s="243"/>
      <c r="S34" s="243"/>
      <c r="T34" s="243"/>
      <c r="U34" s="243"/>
      <c r="V34" s="243"/>
      <c r="W34" s="243"/>
      <c r="X34" s="243"/>
      <c r="Y34" s="243"/>
      <c r="Z34" s="243"/>
    </row>
    <row r="35" spans="1:26" s="11" customFormat="1" x14ac:dyDescent="0.2">
      <c r="A35" s="148" t="str">
        <f t="shared" si="0"/>
        <v/>
      </c>
      <c r="B35" s="68">
        <f t="shared" si="1"/>
        <v>41972</v>
      </c>
      <c r="C35" s="59"/>
      <c r="D35" s="59"/>
      <c r="E35" s="59"/>
      <c r="F35" s="59"/>
      <c r="G35" s="44" t="str">
        <f>IF(AND(WEEKDAY(B35,2)&gt;5,$C35=""),"",IF(E35&gt;0,(E35*60+F35)-(C35*60+D35)-H35+TRUNC(Info!$D$10*(I35/100)),IF(MID(C35,1,2)="Fl",0,Info!$D$10))-Info!$D$10)</f>
        <v/>
      </c>
      <c r="H35" s="185">
        <f>IF(AND(Info!$C$46&gt;0,$E35&gt;$C35),Info!$C$46,)</f>
        <v>0</v>
      </c>
      <c r="I35" s="185"/>
      <c r="J35" s="175" t="str">
        <f>Info!AL35</f>
        <v/>
      </c>
      <c r="K35" s="323"/>
      <c r="L35" s="338"/>
      <c r="M35" s="327"/>
      <c r="P35" s="243"/>
      <c r="Q35" s="243"/>
      <c r="R35" s="243"/>
      <c r="S35" s="243"/>
      <c r="T35" s="243"/>
      <c r="U35" s="243"/>
      <c r="V35" s="243"/>
      <c r="W35" s="243"/>
      <c r="X35" s="243"/>
      <c r="Y35" s="243"/>
      <c r="Z35" s="243"/>
    </row>
    <row r="36" spans="1:26" s="11" customFormat="1" ht="13.5" thickBot="1" x14ac:dyDescent="0.25">
      <c r="A36" s="148" t="str">
        <f t="shared" si="0"/>
        <v/>
      </c>
      <c r="B36" s="69">
        <f t="shared" si="1"/>
        <v>41973</v>
      </c>
      <c r="C36" s="60"/>
      <c r="D36" s="60"/>
      <c r="E36" s="60"/>
      <c r="F36" s="60"/>
      <c r="G36" s="52" t="str">
        <f>IF(AND(WEEKDAY(B36,2)&gt;5,$C36=""),"",IF(E36&gt;0,(E36*60+F36)-(C36*60+D36)-H36+TRUNC(Info!$D$10*(I36/100)),IF(MID(C36,1,2)="Fl",0,Info!$D$10))-Info!$D$10)</f>
        <v/>
      </c>
      <c r="H36" s="186">
        <f>IF(AND(Info!$C$46&gt;0,$E36&gt;$C36),Info!$C$46,)</f>
        <v>0</v>
      </c>
      <c r="I36" s="186"/>
      <c r="J36" s="176" t="str">
        <f>Info!AL36</f>
        <v/>
      </c>
      <c r="K36" s="323"/>
      <c r="L36" s="338"/>
      <c r="M36" s="327"/>
      <c r="P36" s="243"/>
      <c r="Q36" s="243"/>
      <c r="R36" s="243"/>
      <c r="S36" s="243"/>
      <c r="T36" s="243"/>
      <c r="U36" s="243"/>
      <c r="V36" s="243"/>
      <c r="W36" s="243"/>
      <c r="X36" s="243"/>
      <c r="Y36" s="243"/>
      <c r="Z36" s="243"/>
    </row>
    <row r="37" spans="1:26" x14ac:dyDescent="0.2">
      <c r="G37" s="45"/>
      <c r="H37" s="12"/>
      <c r="I37" s="12"/>
      <c r="K37" s="313">
        <f>SUM(K7:K36)</f>
        <v>0</v>
      </c>
      <c r="L37" s="313">
        <f>SUM(L6:L36)</f>
        <v>0</v>
      </c>
      <c r="M37" s="327"/>
      <c r="N37" s="337">
        <f>SUM(Okt!$K$27:'Okt'!$K37)+SUM($K$7:$K$26)</f>
        <v>0</v>
      </c>
    </row>
    <row r="38" spans="1:26" x14ac:dyDescent="0.2">
      <c r="K38" s="342" t="str">
        <f>ROUNDDOWN(K37/60,1)&amp;" t"</f>
        <v>0 t</v>
      </c>
      <c r="L38" s="96" t="s">
        <v>217</v>
      </c>
      <c r="M38" s="327"/>
      <c r="N38" s="330" t="str">
        <f>ROUNDDOWN(N37/60,1)&amp;" t  i perioden 21."&amp;TEXT(B7-1,"m")&amp;"-20."&amp;TEXT(B7,"m")</f>
        <v>0 t  i perioden 21.10-20.11</v>
      </c>
    </row>
    <row r="39" spans="1:26" x14ac:dyDescent="0.2">
      <c r="B39" s="454" t="s">
        <v>141</v>
      </c>
      <c r="C39" s="455"/>
      <c r="D39" s="455"/>
      <c r="E39" s="456"/>
      <c r="F39" s="208" t="s">
        <v>48</v>
      </c>
      <c r="G39" s="209" t="s">
        <v>49</v>
      </c>
      <c r="H39" s="482" t="s">
        <v>50</v>
      </c>
      <c r="I39" s="460"/>
      <c r="J39" s="14" t="s">
        <v>19</v>
      </c>
      <c r="K39" s="92"/>
      <c r="L39" s="92"/>
    </row>
    <row r="40" spans="1:26" x14ac:dyDescent="0.2">
      <c r="B40" s="191" t="str">
        <f>J$2&amp;":"</f>
        <v>November:</v>
      </c>
      <c r="C40" s="1"/>
      <c r="D40" s="1"/>
      <c r="E40" s="40">
        <f>SUM(G$7:G$37)</f>
        <v>0</v>
      </c>
      <c r="F40" s="38">
        <f>TRUNC(E40/60,)</f>
        <v>0</v>
      </c>
      <c r="G40" s="50">
        <f>((E40/60)-F40)*60</f>
        <v>0</v>
      </c>
      <c r="H40" s="471"/>
      <c r="I40" s="472"/>
      <c r="J40" s="15" t="s">
        <v>145</v>
      </c>
      <c r="K40" s="92"/>
      <c r="L40" s="92"/>
    </row>
    <row r="41" spans="1:26" x14ac:dyDescent="0.2">
      <c r="B41" s="192" t="str">
        <f>"Fra "&amp;TEXT(($B$7-1),"mmmm")&amp;":"</f>
        <v>Fra oktober:</v>
      </c>
      <c r="C41" s="1"/>
      <c r="D41" s="1"/>
      <c r="E41" s="40">
        <f>Okt!$E$43</f>
        <v>0</v>
      </c>
      <c r="F41" s="39">
        <f>TRUNC(E41/60,)</f>
        <v>0</v>
      </c>
      <c r="G41" s="51">
        <f>((E41/60)-F41)*60</f>
        <v>0</v>
      </c>
      <c r="H41" s="473"/>
      <c r="I41" s="474"/>
      <c r="J41" s="15" t="s">
        <v>146</v>
      </c>
      <c r="K41" s="92"/>
      <c r="L41" s="92"/>
    </row>
    <row r="42" spans="1:26" x14ac:dyDescent="0.2">
      <c r="B42" s="210" t="s">
        <v>142</v>
      </c>
      <c r="C42" s="1"/>
      <c r="D42" s="1"/>
      <c r="E42" s="193">
        <f>E40+E41</f>
        <v>0</v>
      </c>
      <c r="F42" s="80">
        <f>TRUNC(E42/60,)</f>
        <v>0</v>
      </c>
      <c r="G42" s="81">
        <f>((E42/60)-F42)*60</f>
        <v>0</v>
      </c>
      <c r="H42" s="457">
        <f>E42/Info!$D$10</f>
        <v>0</v>
      </c>
      <c r="I42" s="451"/>
      <c r="J42" s="213" t="s">
        <v>147</v>
      </c>
      <c r="K42" s="92"/>
      <c r="L42" s="92"/>
    </row>
    <row r="43" spans="1:26" x14ac:dyDescent="0.2">
      <c r="B43" s="454" t="s">
        <v>133</v>
      </c>
      <c r="C43" s="455"/>
      <c r="D43" s="455"/>
      <c r="E43" s="456"/>
      <c r="F43" s="1"/>
      <c r="G43" s="46"/>
      <c r="H43" s="461">
        <f>IF(Info!$C$47="Ja",E42/Info!$D$11,)</f>
        <v>0</v>
      </c>
      <c r="I43" s="461"/>
      <c r="J43" s="17" t="s">
        <v>40</v>
      </c>
      <c r="K43" s="92"/>
      <c r="L43" s="92"/>
    </row>
    <row r="44" spans="1:26" x14ac:dyDescent="0.2">
      <c r="B44" s="191" t="str">
        <f>J$2&amp;":"</f>
        <v>November:</v>
      </c>
      <c r="C44" s="194"/>
      <c r="D44" s="195"/>
      <c r="E44" s="196">
        <f>COUNTIF(C$7:C$37,"Fe*")</f>
        <v>0</v>
      </c>
      <c r="G44" s="47"/>
      <c r="H44" s="18"/>
      <c r="I44" s="18"/>
      <c r="J44" s="25"/>
      <c r="K44" s="92"/>
      <c r="L44" s="92"/>
    </row>
    <row r="45" spans="1:26" x14ac:dyDescent="0.2">
      <c r="B45" s="192" t="s">
        <v>143</v>
      </c>
      <c r="C45" s="7"/>
      <c r="D45" s="7"/>
      <c r="E45" s="197">
        <f>Okt!$E$47</f>
        <v>0</v>
      </c>
      <c r="F45" s="10"/>
      <c r="G45" s="48"/>
      <c r="H45" s="19"/>
      <c r="I45" s="19"/>
      <c r="J45" s="26"/>
      <c r="K45" s="92"/>
      <c r="L45" s="92"/>
    </row>
    <row r="46" spans="1:26" x14ac:dyDescent="0.2">
      <c r="B46" s="211" t="s">
        <v>44</v>
      </c>
      <c r="C46" s="198"/>
      <c r="D46" s="198"/>
      <c r="E46" s="199">
        <f>E45-E44</f>
        <v>0</v>
      </c>
      <c r="F46" s="2"/>
      <c r="G46" s="48"/>
      <c r="H46" s="19"/>
      <c r="I46" s="19"/>
      <c r="J46" s="26"/>
      <c r="K46" s="92"/>
      <c r="L46" s="92"/>
    </row>
    <row r="47" spans="1:26" x14ac:dyDescent="0.2">
      <c r="B47" s="454" t="s">
        <v>140</v>
      </c>
      <c r="C47" s="455"/>
      <c r="D47" s="455"/>
      <c r="E47" s="456"/>
      <c r="F47" s="454" t="s">
        <v>87</v>
      </c>
      <c r="G47" s="458"/>
      <c r="H47" s="459"/>
      <c r="I47" s="460"/>
      <c r="K47" s="92"/>
      <c r="L47" s="92"/>
    </row>
    <row r="48" spans="1:26" x14ac:dyDescent="0.2">
      <c r="B48" s="191" t="str">
        <f>J$2&amp;":"</f>
        <v>November:</v>
      </c>
      <c r="C48" s="195"/>
      <c r="D48" s="195"/>
      <c r="E48" s="200">
        <f>COUNTIF(C$7:C$37,"S*")</f>
        <v>0</v>
      </c>
      <c r="F48" s="464" t="str">
        <f>IF(E48&gt;0,"- av disse","")</f>
        <v/>
      </c>
      <c r="G48" s="465"/>
      <c r="H48" s="466" t="str">
        <f>IF(E48&gt;0,E48-COUNTIF(C$7:C$37,"s*m*"),"")</f>
        <v/>
      </c>
      <c r="I48" s="467"/>
      <c r="K48" s="92"/>
      <c r="L48" s="92"/>
    </row>
    <row r="49" spans="2:12" x14ac:dyDescent="0.2">
      <c r="B49" s="211" t="str">
        <f>J$1&amp;":"</f>
        <v>2014:</v>
      </c>
      <c r="C49" s="198"/>
      <c r="D49" s="198"/>
      <c r="E49" s="201">
        <f>Okt!$E$50+E48</f>
        <v>0</v>
      </c>
      <c r="F49" s="452" t="s">
        <v>148</v>
      </c>
      <c r="G49" s="453"/>
      <c r="H49" s="450">
        <f>SUM(Info!$I$15:'Info'!$I$15)+SUM(Info!$J$4:'Info'!$J$13)+E48-COUNTIF(C$7:C$37,"s*m*")</f>
        <v>0</v>
      </c>
      <c r="I49" s="451"/>
      <c r="K49" s="92"/>
      <c r="L49" s="92"/>
    </row>
    <row r="50" spans="2:12" x14ac:dyDescent="0.2">
      <c r="B50" s="454" t="s">
        <v>144</v>
      </c>
      <c r="C50" s="455"/>
      <c r="D50" s="455"/>
      <c r="E50" s="456"/>
      <c r="K50" s="92"/>
      <c r="L50" s="92"/>
    </row>
    <row r="51" spans="2:12" x14ac:dyDescent="0.2">
      <c r="B51" s="202" t="str">
        <f>"Sykt barn/-passer i "&amp;LOWER(J$2)&amp;":"</f>
        <v>Sykt barn/-passer i november:</v>
      </c>
      <c r="C51" s="28"/>
      <c r="D51" s="203"/>
      <c r="E51" s="204">
        <f>COUNTIF(C$7:C$37,"P*b*")</f>
        <v>0</v>
      </c>
      <c r="F51" s="1"/>
      <c r="G51" s="49"/>
      <c r="H51" s="19"/>
      <c r="I51" s="19"/>
      <c r="K51" s="92"/>
      <c r="L51" s="92"/>
    </row>
    <row r="52" spans="2:12" x14ac:dyDescent="0.2">
      <c r="B52" s="205" t="str">
        <f>"Velferdspermisjon i "&amp;LOWER(J$2)&amp;":"</f>
        <v>Velferdspermisjon i november:</v>
      </c>
      <c r="C52" s="1"/>
      <c r="D52" s="1"/>
      <c r="E52" s="206">
        <f>COUNTIF(C$7:C$37,"P*v*")</f>
        <v>0</v>
      </c>
      <c r="K52" s="92"/>
      <c r="L52" s="92"/>
    </row>
    <row r="53" spans="2:12" x14ac:dyDescent="0.2">
      <c r="B53" s="205" t="str">
        <f>"Annen permisjon i "&amp;LOWER(J$2)&amp;":"</f>
        <v>Annen permisjon i november:</v>
      </c>
      <c r="C53" s="1"/>
      <c r="D53" s="1"/>
      <c r="E53" s="206">
        <f>COUNTIF(C$7:C$37,"P*a*")</f>
        <v>0</v>
      </c>
      <c r="J53" s="429"/>
      <c r="K53" s="92"/>
      <c r="L53" s="92"/>
    </row>
    <row r="54" spans="2:12" x14ac:dyDescent="0.2">
      <c r="B54" s="212" t="str">
        <f>J$1&amp;":"</f>
        <v>2014:</v>
      </c>
      <c r="C54" s="31"/>
      <c r="D54" s="31"/>
      <c r="E54" s="207">
        <f>Okt!$E$55+SUM(E51:E53)</f>
        <v>0</v>
      </c>
      <c r="J54" s="314" t="s">
        <v>233</v>
      </c>
      <c r="K54" s="92"/>
      <c r="L54" s="92"/>
    </row>
    <row r="55" spans="2:12" x14ac:dyDescent="0.2">
      <c r="K55" s="92"/>
      <c r="L55" s="92"/>
    </row>
  </sheetData>
  <sheetProtection selectLockedCells="1"/>
  <mergeCells count="16">
    <mergeCell ref="K5:L5"/>
    <mergeCell ref="F48:G48"/>
    <mergeCell ref="F49:G49"/>
    <mergeCell ref="B50:E50"/>
    <mergeCell ref="B39:E39"/>
    <mergeCell ref="B43:E43"/>
    <mergeCell ref="B47:E47"/>
    <mergeCell ref="F47:I47"/>
    <mergeCell ref="H48:I48"/>
    <mergeCell ref="H49:I49"/>
    <mergeCell ref="H42:I42"/>
    <mergeCell ref="H43:I43"/>
    <mergeCell ref="H5:I5"/>
    <mergeCell ref="H39:I39"/>
    <mergeCell ref="H40:I40"/>
    <mergeCell ref="H41:I41"/>
  </mergeCells>
  <phoneticPr fontId="10" type="noConversion"/>
  <conditionalFormatting sqref="G7:G36">
    <cfRule type="expression" dxfId="47" priority="1" stopIfTrue="1">
      <formula>WEEKDAY($B7,2)&gt;5</formula>
    </cfRule>
  </conditionalFormatting>
  <conditionalFormatting sqref="A7">
    <cfRule type="expression" dxfId="46" priority="2" stopIfTrue="1">
      <formula>AND((TODAY()-WEEKDAY(TODAY(),2)+7)&gt;=B7,(TODAY()-WEEKDAY(TODAY(),2)&lt;B7))</formula>
    </cfRule>
  </conditionalFormatting>
  <conditionalFormatting sqref="A8:A36">
    <cfRule type="expression" dxfId="45" priority="3" stopIfTrue="1">
      <formula>(TODAY()-WEEKDAY(TODAY(),2)+1)=B8</formula>
    </cfRule>
  </conditionalFormatting>
  <conditionalFormatting sqref="C7:F36 H7:I36">
    <cfRule type="expression" dxfId="44" priority="4" stopIfTrue="1">
      <formula>$B7=TODAY()</formula>
    </cfRule>
    <cfRule type="expression" dxfId="43" priority="5" stopIfTrue="1">
      <formula>WEEKDAY($B7,2)&gt;5</formula>
    </cfRule>
  </conditionalFormatting>
  <conditionalFormatting sqref="B7:B36">
    <cfRule type="expression" dxfId="42" priority="6" stopIfTrue="1">
      <formula>AND(B7=TODAY(),OR(WEEKDAY(B7,2)&gt;5,LEFT($A7,1)=" "))</formula>
    </cfRule>
    <cfRule type="expression" dxfId="41" priority="7" stopIfTrue="1">
      <formula>B7=TODAY()</formula>
    </cfRule>
    <cfRule type="expression" dxfId="40" priority="8" stopIfTrue="1">
      <formula>OR(WEEKDAY($B7,2)&gt;5,LEFT($A7,1)=" ")</formula>
    </cfRule>
  </conditionalFormatting>
  <conditionalFormatting sqref="J7:J36">
    <cfRule type="expression" dxfId="39" priority="9" stopIfTrue="1">
      <formula>$B7=TODAY()</formula>
    </cfRule>
    <cfRule type="expression" dxfId="38" priority="10" stopIfTrue="1">
      <formula>WEEKDAY($B7,2)&gt;5</formula>
    </cfRule>
  </conditionalFormatting>
  <conditionalFormatting sqref="G6">
    <cfRule type="expression" dxfId="37" priority="11" stopIfTrue="1">
      <formula>AND(H42&gt;-0.99,H42&lt;-0.01)</formula>
    </cfRule>
    <cfRule type="expression" dxfId="36" priority="12" stopIfTrue="1">
      <formula>H42&lt;=-2</formula>
    </cfRule>
    <cfRule type="expression" dxfId="35" priority="13" stopIfTrue="1">
      <formula>AND(H42&gt;-1.99,H42&lt;-1)</formula>
    </cfRule>
  </conditionalFormatting>
  <conditionalFormatting sqref="N2:N6">
    <cfRule type="expression" dxfId="34" priority="31" stopIfTrue="1">
      <formula>MONTH($B$7)=MONTH(TODAY())</formula>
    </cfRule>
  </conditionalFormatting>
  <conditionalFormatting sqref="H49">
    <cfRule type="cellIs" dxfId="33" priority="14" stopIfTrue="1" operator="greaterThan">
      <formula>22</formula>
    </cfRule>
  </conditionalFormatting>
  <conditionalFormatting sqref="H42">
    <cfRule type="cellIs" dxfId="32" priority="15" stopIfTrue="1" operator="between">
      <formula>-0.4</formula>
      <formula>-0.9999999</formula>
    </cfRule>
    <cfRule type="cellIs" dxfId="31" priority="16" stopIfTrue="1" operator="lessThanOrEqual">
      <formula>-2</formula>
    </cfRule>
    <cfRule type="cellIs" dxfId="30" priority="17" stopIfTrue="1" operator="between">
      <formula>-1</formula>
      <formula>-1.99999999</formula>
    </cfRule>
  </conditionalFormatting>
  <conditionalFormatting sqref="K38">
    <cfRule type="expression" dxfId="29" priority="36" stopIfTrue="1">
      <formula>K37&lt;=0</formula>
    </cfRule>
  </conditionalFormatting>
  <conditionalFormatting sqref="L38">
    <cfRule type="expression" dxfId="28" priority="37" stopIfTrue="1">
      <formula>OR(K37&lt;=0,N37&lt;=0)</formula>
    </cfRule>
  </conditionalFormatting>
  <conditionalFormatting sqref="K37:L37">
    <cfRule type="cellIs" dxfId="27" priority="38" stopIfTrue="1" operator="lessThanOrEqual">
      <formula>0</formula>
    </cfRule>
  </conditionalFormatting>
  <conditionalFormatting sqref="K7:L36">
    <cfRule type="expression" dxfId="26" priority="39" stopIfTrue="1">
      <formula>$B7=TODAY()</formula>
    </cfRule>
    <cfRule type="expression" dxfId="25" priority="40" stopIfTrue="1">
      <formula>WEEKDAY($B7,2)&gt;5</formula>
    </cfRule>
  </conditionalFormatting>
  <conditionalFormatting sqref="N38">
    <cfRule type="expression" dxfId="24" priority="41" stopIfTrue="1">
      <formula>N37&lt;=0</formula>
    </cfRule>
  </conditionalFormatting>
  <pageMargins left="0.78740157480314965" right="0.19685039370078741" top="0.78740157480314965" bottom="0.98425196850393704" header="0.51181102362204722" footer="0.51181102362204722"/>
  <pageSetup paperSize="9" orientation="portrait" r:id="rId1"/>
  <headerFooter alignWithMargins="0">
    <oddFooter>&amp;R&amp;7ghe&amp;G 2011</oddFooter>
  </headerFooter>
  <ignoredErrors>
    <ignoredError sqref="J7:J36 H7:H36" unlockedFormula="1"/>
  </ignoredErrors>
  <drawing r:id="rId2"/>
  <legacyDrawing r:id="rId3"/>
  <legacyDrawingHF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4" enableFormatConditionsCalculation="0">
    <tabColor indexed="20"/>
    <pageSetUpPr fitToPage="1"/>
  </sheetPr>
  <dimension ref="A1:Z55"/>
  <sheetViews>
    <sheetView showGridLines="0" workbookViewId="0">
      <pane ySplit="6" topLeftCell="A7" activePane="bottomLeft" state="frozenSplit"/>
      <selection pane="bottomLeft" activeCell="C7" sqref="C7"/>
    </sheetView>
  </sheetViews>
  <sheetFormatPr baseColWidth="10" defaultColWidth="9.140625" defaultRowHeight="12.75" x14ac:dyDescent="0.2"/>
  <cols>
    <col min="1" max="1" width="3" style="149" customWidth="1"/>
    <col min="2" max="2" width="7.5703125" customWidth="1"/>
    <col min="3" max="5" width="9.140625" customWidth="1"/>
    <col min="6" max="6" width="8.5703125" customWidth="1"/>
    <col min="7" max="7" width="7.140625" style="41" customWidth="1"/>
    <col min="8" max="8" width="5" style="8" customWidth="1"/>
    <col min="9" max="9" width="3.42578125" style="8" customWidth="1"/>
    <col min="10" max="10" width="31.42578125" style="10" customWidth="1"/>
    <col min="11" max="12" width="4.7109375" customWidth="1"/>
    <col min="13" max="13" width="1.85546875" style="92" customWidth="1"/>
    <col min="14" max="14" width="20.28515625" customWidth="1"/>
    <col min="15" max="15" width="2" customWidth="1"/>
    <col min="16" max="16" width="9" style="244" customWidth="1"/>
    <col min="17" max="26" width="9.140625" style="244"/>
  </cols>
  <sheetData>
    <row r="1" spans="1:26" s="92" customFormat="1" x14ac:dyDescent="0.2">
      <c r="A1" s="133"/>
      <c r="G1" s="347"/>
      <c r="H1" s="348"/>
      <c r="I1" s="348"/>
      <c r="J1" s="349">
        <f>Info!$E$1</f>
        <v>2014</v>
      </c>
    </row>
    <row r="2" spans="1:26" s="92" customFormat="1" ht="23.25" x14ac:dyDescent="0.35">
      <c r="A2" s="350"/>
      <c r="B2" s="351"/>
      <c r="C2" s="351"/>
      <c r="D2" s="352"/>
      <c r="E2" s="352"/>
      <c r="F2" s="353" t="str">
        <f>Info!C41</f>
        <v>Fleksitid</v>
      </c>
      <c r="G2" s="354"/>
      <c r="H2" s="351"/>
      <c r="I2" s="351"/>
      <c r="J2" s="355" t="s">
        <v>9</v>
      </c>
      <c r="N2" s="325"/>
    </row>
    <row r="3" spans="1:26" s="92" customFormat="1" ht="17.25" customHeight="1" x14ac:dyDescent="0.2">
      <c r="A3" s="133"/>
      <c r="B3" s="356"/>
      <c r="C3" s="357"/>
      <c r="D3" s="358"/>
      <c r="E3" s="359"/>
      <c r="F3" s="360">
        <f>Info!$C$5</f>
        <v>0</v>
      </c>
      <c r="G3" s="361"/>
      <c r="H3" s="362"/>
      <c r="I3" s="362"/>
      <c r="J3" s="314"/>
      <c r="N3" s="325"/>
    </row>
    <row r="4" spans="1:26" s="92" customFormat="1" ht="15" customHeight="1" thickBot="1" x14ac:dyDescent="0.25">
      <c r="A4" s="133"/>
      <c r="B4" s="363"/>
      <c r="C4" s="364"/>
      <c r="D4" s="365"/>
      <c r="E4" s="366"/>
      <c r="F4" s="367">
        <f>Info!$C$6</f>
        <v>0</v>
      </c>
      <c r="G4" s="368"/>
      <c r="H4" s="366"/>
      <c r="I4" s="366"/>
      <c r="J4" s="365"/>
      <c r="N4" s="325"/>
    </row>
    <row r="5" spans="1:26" x14ac:dyDescent="0.2">
      <c r="B5" s="3"/>
      <c r="C5" s="4" t="s">
        <v>0</v>
      </c>
      <c r="D5" s="4"/>
      <c r="E5" s="4" t="s">
        <v>1</v>
      </c>
      <c r="F5" s="4"/>
      <c r="G5" s="42"/>
      <c r="H5" s="468" t="s">
        <v>208</v>
      </c>
      <c r="I5" s="469"/>
      <c r="J5" s="9" t="s">
        <v>6</v>
      </c>
      <c r="K5" s="462" t="s">
        <v>216</v>
      </c>
      <c r="L5" s="463"/>
      <c r="M5" s="326"/>
      <c r="N5" s="11"/>
    </row>
    <row r="6" spans="1:26" ht="13.5" thickBot="1" x14ac:dyDescent="0.25">
      <c r="B6" s="5" t="s">
        <v>2</v>
      </c>
      <c r="C6" s="6" t="s">
        <v>3</v>
      </c>
      <c r="D6" s="6" t="s">
        <v>4</v>
      </c>
      <c r="E6" s="6" t="s">
        <v>3</v>
      </c>
      <c r="F6" s="6" t="s">
        <v>4</v>
      </c>
      <c r="G6" s="188" t="s">
        <v>139</v>
      </c>
      <c r="H6" s="6" t="s">
        <v>4</v>
      </c>
      <c r="I6" s="308" t="s">
        <v>207</v>
      </c>
      <c r="J6" s="172" t="str">
        <f>"Fleksi"&amp;IF(E43&lt;Info!D10,"tid: "&amp;IF(E43&lt;0,"-","")&amp;ABS(F43)&amp;":"&amp;ABS(ROUND(G43,)),"dager: "&amp;ROUND(H$43,1))&amp;"   Ferie: "&amp;E$47</f>
        <v>Fleksitid: 0:0   Ferie: 0</v>
      </c>
      <c r="K6" s="320" t="s">
        <v>4</v>
      </c>
      <c r="L6" s="322" t="s">
        <v>215</v>
      </c>
      <c r="M6" s="133"/>
      <c r="N6" s="11"/>
    </row>
    <row r="7" spans="1:26" s="11" customFormat="1" x14ac:dyDescent="0.2">
      <c r="A7" s="148">
        <f>IF(WEEKDAY(B7,2)&lt;6,INT((B7-(DATE(YEAR(B7+(MOD(8-WEEKDAY(B7),7)-3)),1,1))-3+
MOD(WEEKDAY(DATE(YEAR(B7+(MOD(8-WEEKDAY(B7),7)-3)),1,1))+1,7))/7)+1,"")</f>
        <v>49</v>
      </c>
      <c r="B7" s="68">
        <f>DATE(Info!$E$1,12,1)</f>
        <v>41974</v>
      </c>
      <c r="C7" s="59"/>
      <c r="D7" s="59"/>
      <c r="E7" s="59"/>
      <c r="F7" s="59"/>
      <c r="G7" s="44">
        <f>IF(AND(WEEKDAY(B7,2)&gt;5,$C7=""),"",IF(E7&gt;0,(E7*60+F7)-(C7*60+D7)-H7+TRUNC(Info!$D$10*(I7/100)),IF(MID(C7,1,2)="Fl",0,Info!$D$10))-Info!$D$10)</f>
        <v>0</v>
      </c>
      <c r="H7" s="185">
        <f>IF(AND(Info!$C$46&gt;0,$E7&gt;$C7),Info!$C$46,)</f>
        <v>0</v>
      </c>
      <c r="I7" s="185"/>
      <c r="J7" s="175" t="str">
        <f>Info!AM7</f>
        <v/>
      </c>
      <c r="K7" s="323"/>
      <c r="L7" s="338"/>
      <c r="M7" s="327"/>
      <c r="P7" s="243"/>
      <c r="Q7" s="243"/>
      <c r="R7" s="243"/>
      <c r="S7" s="243"/>
      <c r="T7" s="243"/>
      <c r="U7" s="243"/>
      <c r="V7" s="243"/>
      <c r="W7" s="243"/>
      <c r="X7" s="243"/>
      <c r="Y7" s="243"/>
      <c r="Z7" s="243"/>
    </row>
    <row r="8" spans="1:26" s="11" customFormat="1" x14ac:dyDescent="0.2">
      <c r="A8" s="148" t="str">
        <f t="shared" ref="A8:A37" si="0">IF(WEEKDAY(B8,2)=1,INT((B8-(DATE(YEAR(B8+(MOD(8-WEEKDAY(B8),7)-3)),1,1))-3+
MOD(WEEKDAY(DATE(YEAR(B8+(MOD(8-WEEKDAY(B8),7)-3)),1,1))+1,7))/7)+1,"")</f>
        <v/>
      </c>
      <c r="B8" s="68">
        <f>B7+1</f>
        <v>41975</v>
      </c>
      <c r="C8" s="59"/>
      <c r="D8" s="59"/>
      <c r="E8" s="59"/>
      <c r="F8" s="59"/>
      <c r="G8" s="44">
        <f>IF(AND(WEEKDAY(B8,2)&gt;5,$C8=""),"",IF(E8&gt;0,(E8*60+F8)-(C8*60+D8)-H8+TRUNC(Info!$D$10*(I8/100)),IF(MID(C8,1,2)="Fl",0,Info!$D$10))-Info!$D$10)</f>
        <v>0</v>
      </c>
      <c r="H8" s="185">
        <f>IF(AND(Info!$C$46&gt;0,$E8&gt;$C8),Info!$C$46,)</f>
        <v>0</v>
      </c>
      <c r="I8" s="185"/>
      <c r="J8" s="175" t="str">
        <f>Info!AM8</f>
        <v/>
      </c>
      <c r="K8" s="323"/>
      <c r="L8" s="338"/>
      <c r="M8" s="327"/>
      <c r="P8" s="243"/>
      <c r="Q8" s="243"/>
      <c r="R8" s="243"/>
      <c r="S8" s="243"/>
      <c r="T8" s="243"/>
      <c r="U8" s="243"/>
      <c r="V8" s="243"/>
      <c r="W8" s="243"/>
      <c r="X8" s="243"/>
      <c r="Y8" s="243"/>
      <c r="Z8" s="243"/>
    </row>
    <row r="9" spans="1:26" s="11" customFormat="1" x14ac:dyDescent="0.2">
      <c r="A9" s="148" t="str">
        <f t="shared" si="0"/>
        <v/>
      </c>
      <c r="B9" s="68">
        <f t="shared" ref="B9:B37" si="1">B8+1</f>
        <v>41976</v>
      </c>
      <c r="C9" s="59"/>
      <c r="D9" s="59"/>
      <c r="E9" s="59"/>
      <c r="F9" s="59"/>
      <c r="G9" s="44">
        <f>IF(AND(WEEKDAY(B9,2)&gt;5,$C9=""),"",IF(E9&gt;0,(E9*60+F9)-(C9*60+D9)-H9+TRUNC(Info!$D$10*(I9/100)),IF(MID(C9,1,2)="Fl",0,Info!$D$10))-Info!$D$10)</f>
        <v>0</v>
      </c>
      <c r="H9" s="185">
        <f>IF(AND(Info!$C$46&gt;0,$E9&gt;$C9),Info!$C$46,)</f>
        <v>0</v>
      </c>
      <c r="I9" s="185"/>
      <c r="J9" s="175" t="str">
        <f>Info!AM9</f>
        <v/>
      </c>
      <c r="K9" s="323"/>
      <c r="L9" s="338"/>
      <c r="M9" s="327"/>
      <c r="P9" s="243"/>
      <c r="Q9" s="243"/>
      <c r="R9" s="243"/>
      <c r="S9" s="243"/>
      <c r="T9" s="243"/>
      <c r="U9" s="243"/>
      <c r="V9" s="243"/>
      <c r="W9" s="243"/>
      <c r="X9" s="243"/>
      <c r="Y9" s="243"/>
      <c r="Z9" s="243"/>
    </row>
    <row r="10" spans="1:26" s="11" customFormat="1" x14ac:dyDescent="0.2">
      <c r="A10" s="148" t="str">
        <f t="shared" si="0"/>
        <v/>
      </c>
      <c r="B10" s="68">
        <f t="shared" si="1"/>
        <v>41977</v>
      </c>
      <c r="C10" s="59"/>
      <c r="D10" s="59"/>
      <c r="E10" s="59"/>
      <c r="F10" s="59"/>
      <c r="G10" s="44">
        <f>IF(AND(WEEKDAY(B10,2)&gt;5,$C10=""),"",IF(E10&gt;0,(E10*60+F10)-(C10*60+D10)-H10+TRUNC(Info!$D$10*(I10/100)),IF(MID(C10,1,2)="Fl",0,Info!$D$10))-Info!$D$10)</f>
        <v>0</v>
      </c>
      <c r="H10" s="185">
        <f>IF(AND(Info!$C$46&gt;0,$E10&gt;$C10),Info!$C$46,)</f>
        <v>0</v>
      </c>
      <c r="I10" s="185"/>
      <c r="J10" s="175" t="str">
        <f>Info!AM10</f>
        <v/>
      </c>
      <c r="K10" s="323"/>
      <c r="L10" s="338"/>
      <c r="M10" s="327"/>
      <c r="P10" s="243"/>
      <c r="Q10" s="243"/>
      <c r="R10" s="243"/>
      <c r="S10" s="243"/>
      <c r="T10" s="243"/>
      <c r="U10" s="243"/>
      <c r="V10" s="243"/>
      <c r="W10" s="243"/>
      <c r="X10" s="243"/>
      <c r="Y10" s="243"/>
      <c r="Z10" s="243"/>
    </row>
    <row r="11" spans="1:26" s="11" customFormat="1" x14ac:dyDescent="0.2">
      <c r="A11" s="148" t="str">
        <f t="shared" si="0"/>
        <v/>
      </c>
      <c r="B11" s="68">
        <f t="shared" si="1"/>
        <v>41978</v>
      </c>
      <c r="C11" s="59"/>
      <c r="D11" s="59"/>
      <c r="E11" s="59"/>
      <c r="F11" s="59"/>
      <c r="G11" s="44">
        <f>IF(AND(WEEKDAY(B11,2)&gt;5,$C11=""),"",IF(E11&gt;0,(E11*60+F11)-(C11*60+D11)-H11+TRUNC(Info!$D$10*(I11/100)),IF(MID(C11,1,2)="Fl",0,Info!$D$10))-Info!$D$10)</f>
        <v>0</v>
      </c>
      <c r="H11" s="185">
        <f>IF(AND(Info!$C$46&gt;0,$E11&gt;$C11),Info!$C$46,)</f>
        <v>0</v>
      </c>
      <c r="I11" s="185"/>
      <c r="J11" s="175" t="str">
        <f>Info!AM11</f>
        <v/>
      </c>
      <c r="K11" s="323"/>
      <c r="L11" s="338"/>
      <c r="M11" s="328"/>
      <c r="P11" s="243"/>
      <c r="Q11" s="243"/>
      <c r="R11" s="243"/>
      <c r="S11" s="243"/>
      <c r="T11" s="243"/>
      <c r="U11" s="243"/>
      <c r="V11" s="243"/>
      <c r="W11" s="243"/>
      <c r="X11" s="243"/>
      <c r="Y11" s="243"/>
      <c r="Z11" s="243"/>
    </row>
    <row r="12" spans="1:26" x14ac:dyDescent="0.2">
      <c r="A12" s="148" t="str">
        <f t="shared" si="0"/>
        <v/>
      </c>
      <c r="B12" s="68">
        <f t="shared" si="1"/>
        <v>41979</v>
      </c>
      <c r="C12" s="59"/>
      <c r="D12" s="59"/>
      <c r="E12" s="59"/>
      <c r="F12" s="59"/>
      <c r="G12" s="44" t="str">
        <f>IF(AND(WEEKDAY(B12,2)&gt;5,$C12=""),"",IF(E12&gt;0,(E12*60+F12)-(C12*60+D12)-H12+TRUNC(Info!$D$10*(I12/100)),IF(MID(C12,1,2)="Fl",0,Info!$D$10))-Info!$D$10)</f>
        <v/>
      </c>
      <c r="H12" s="185">
        <f>IF(AND(Info!$C$46&gt;0,$E12&gt;$C12),Info!$C$46,)</f>
        <v>0</v>
      </c>
      <c r="I12" s="185"/>
      <c r="J12" s="175" t="str">
        <f>Info!AM12</f>
        <v>Nasjonaldag Finland</v>
      </c>
      <c r="K12" s="323"/>
      <c r="L12" s="338"/>
      <c r="M12" s="140"/>
    </row>
    <row r="13" spans="1:26" s="11" customFormat="1" x14ac:dyDescent="0.2">
      <c r="A13" s="148" t="str">
        <f t="shared" si="0"/>
        <v/>
      </c>
      <c r="B13" s="68">
        <f t="shared" si="1"/>
        <v>41980</v>
      </c>
      <c r="C13" s="59"/>
      <c r="D13" s="59"/>
      <c r="E13" s="59"/>
      <c r="F13" s="59"/>
      <c r="G13" s="44" t="str">
        <f>IF(AND(WEEKDAY(B13,2)&gt;5,$C13=""),"",IF(E13&gt;0,(E13*60+F13)-(C13*60+D13)-H13+TRUNC(Info!$D$10*(I13/100)),IF(MID(C13,1,2)="Fl",0,Info!$D$10))-Info!$D$10)</f>
        <v/>
      </c>
      <c r="H13" s="185">
        <f>IF(AND(Info!$C$46&gt;0,$E13&gt;$C13),Info!$C$46,)</f>
        <v>0</v>
      </c>
      <c r="I13" s="185"/>
      <c r="J13" s="175" t="str">
        <f>Info!AM13</f>
        <v/>
      </c>
      <c r="K13" s="323"/>
      <c r="L13" s="338"/>
      <c r="M13" s="327"/>
      <c r="P13" s="243"/>
      <c r="Q13" s="243"/>
      <c r="R13" s="243"/>
      <c r="S13" s="243"/>
      <c r="T13" s="243"/>
      <c r="U13" s="243"/>
      <c r="V13" s="243"/>
      <c r="W13" s="243"/>
      <c r="X13" s="243"/>
      <c r="Y13" s="243"/>
      <c r="Z13" s="243"/>
    </row>
    <row r="14" spans="1:26" s="11" customFormat="1" x14ac:dyDescent="0.2">
      <c r="A14" s="148">
        <f t="shared" si="0"/>
        <v>50</v>
      </c>
      <c r="B14" s="68">
        <f t="shared" si="1"/>
        <v>41981</v>
      </c>
      <c r="C14" s="59"/>
      <c r="D14" s="59"/>
      <c r="E14" s="59"/>
      <c r="F14" s="59"/>
      <c r="G14" s="44">
        <f>IF(AND(WEEKDAY(B14,2)&gt;5,$C14=""),"",IF(E14&gt;0,(E14*60+F14)-(C14*60+D14)-H14+TRUNC(Info!$D$10*(I14/100)),IF(MID(C14,1,2)="Fl",0,Info!$D$10))-Info!$D$10)</f>
        <v>0</v>
      </c>
      <c r="H14" s="185">
        <f>IF(AND(Info!$C$46&gt;0,$E14&gt;$C14),Info!$C$46,)</f>
        <v>0</v>
      </c>
      <c r="I14" s="185"/>
      <c r="J14" s="175" t="str">
        <f>Info!AM14</f>
        <v/>
      </c>
      <c r="K14" s="323"/>
      <c r="L14" s="338"/>
      <c r="M14" s="327"/>
      <c r="P14" s="243"/>
      <c r="Q14" s="243"/>
      <c r="R14" s="243"/>
      <c r="S14" s="243"/>
      <c r="T14" s="243"/>
      <c r="U14" s="243"/>
      <c r="V14" s="243"/>
      <c r="W14" s="243"/>
      <c r="X14" s="243"/>
      <c r="Y14" s="243"/>
      <c r="Z14" s="243"/>
    </row>
    <row r="15" spans="1:26" s="11" customFormat="1" x14ac:dyDescent="0.2">
      <c r="A15" s="148" t="str">
        <f t="shared" si="0"/>
        <v/>
      </c>
      <c r="B15" s="68">
        <f t="shared" si="1"/>
        <v>41982</v>
      </c>
      <c r="C15" s="59"/>
      <c r="D15" s="59"/>
      <c r="E15" s="59"/>
      <c r="F15" s="59"/>
      <c r="G15" s="44">
        <f>IF(AND(WEEKDAY(B15,2)&gt;5,$C15=""),"",IF(E15&gt;0,(E15*60+F15)-(C15*60+D15)-H15+TRUNC(Info!$D$10*(I15/100)),IF(MID(C15,1,2)="Fl",0,Info!$D$10))-Info!$D$10)</f>
        <v>0</v>
      </c>
      <c r="H15" s="185">
        <f>IF(AND(Info!$C$46&gt;0,$E15&gt;$C15),Info!$C$46,)</f>
        <v>0</v>
      </c>
      <c r="I15" s="185"/>
      <c r="J15" s="175" t="str">
        <f>Info!AM15</f>
        <v/>
      </c>
      <c r="K15" s="323"/>
      <c r="L15" s="338"/>
      <c r="M15" s="327"/>
      <c r="P15" s="243"/>
      <c r="Q15" s="243"/>
      <c r="R15" s="243"/>
      <c r="S15" s="243"/>
      <c r="T15" s="243"/>
      <c r="U15" s="243"/>
      <c r="V15" s="243"/>
      <c r="W15" s="243"/>
      <c r="X15" s="243"/>
      <c r="Y15" s="243"/>
      <c r="Z15" s="243"/>
    </row>
    <row r="16" spans="1:26" s="11" customFormat="1" x14ac:dyDescent="0.2">
      <c r="A16" s="148" t="str">
        <f t="shared" si="0"/>
        <v/>
      </c>
      <c r="B16" s="68">
        <f t="shared" si="1"/>
        <v>41983</v>
      </c>
      <c r="C16" s="59"/>
      <c r="D16" s="59"/>
      <c r="E16" s="59"/>
      <c r="F16" s="59"/>
      <c r="G16" s="44">
        <f>IF(AND(WEEKDAY(B16,2)&gt;5,$C16=""),"",IF(E16&gt;0,(E16*60+F16)-(C16*60+D16)-H16+TRUNC(Info!$D$10*(I16/100)),IF(MID(C16,1,2)="Fl",0,Info!$D$10))-Info!$D$10)</f>
        <v>0</v>
      </c>
      <c r="H16" s="185">
        <f>IF(AND(Info!$C$46&gt;0,$E16&gt;$C16),Info!$C$46,)</f>
        <v>0</v>
      </c>
      <c r="I16" s="185"/>
      <c r="J16" s="175" t="str">
        <f>Info!AM16</f>
        <v/>
      </c>
      <c r="K16" s="323"/>
      <c r="L16" s="338"/>
      <c r="M16" s="327"/>
      <c r="P16" s="243"/>
      <c r="Q16" s="243"/>
      <c r="R16" s="243"/>
      <c r="S16" s="243"/>
      <c r="T16" s="243"/>
      <c r="U16" s="243"/>
      <c r="V16" s="243"/>
      <c r="W16" s="243"/>
      <c r="X16" s="243"/>
      <c r="Y16" s="243"/>
      <c r="Z16" s="243"/>
    </row>
    <row r="17" spans="1:26" s="11" customFormat="1" x14ac:dyDescent="0.2">
      <c r="A17" s="148" t="str">
        <f t="shared" si="0"/>
        <v/>
      </c>
      <c r="B17" s="68">
        <f t="shared" si="1"/>
        <v>41984</v>
      </c>
      <c r="C17" s="59"/>
      <c r="D17" s="59"/>
      <c r="E17" s="59"/>
      <c r="F17" s="59"/>
      <c r="G17" s="44">
        <f>IF(AND(WEEKDAY(B17,2)&gt;5,$C17=""),"",IF(E17&gt;0,(E17*60+F17)-(C17*60+D17)-H17+TRUNC(Info!$D$10*(I17/100)),IF(MID(C17,1,2)="Fl",0,Info!$D$10))-Info!$D$10)</f>
        <v>0</v>
      </c>
      <c r="H17" s="185">
        <f>IF(AND(Info!$C$46&gt;0,$E17&gt;$C17),Info!$C$46,)</f>
        <v>0</v>
      </c>
      <c r="I17" s="185"/>
      <c r="J17" s="175" t="str">
        <f>Info!AM17</f>
        <v/>
      </c>
      <c r="K17" s="323"/>
      <c r="L17" s="338"/>
      <c r="M17" s="327"/>
      <c r="P17" s="243"/>
      <c r="Q17" s="243"/>
      <c r="R17" s="243"/>
      <c r="S17" s="243"/>
      <c r="T17" s="243"/>
      <c r="U17" s="243"/>
      <c r="V17" s="243"/>
      <c r="W17" s="243"/>
      <c r="X17" s="243"/>
      <c r="Y17" s="243"/>
      <c r="Z17" s="243"/>
    </row>
    <row r="18" spans="1:26" s="11" customFormat="1" x14ac:dyDescent="0.2">
      <c r="A18" s="148" t="str">
        <f t="shared" si="0"/>
        <v/>
      </c>
      <c r="B18" s="68">
        <f t="shared" si="1"/>
        <v>41985</v>
      </c>
      <c r="C18" s="59"/>
      <c r="D18" s="59"/>
      <c r="E18" s="59"/>
      <c r="F18" s="59"/>
      <c r="G18" s="44">
        <f>IF(AND(WEEKDAY(B18,2)&gt;5,$C18=""),"",IF(E18&gt;0,(E18*60+F18)-(C18*60+D18)-H18+TRUNC(Info!$D$10*(I18/100)),IF(MID(C18,1,2)="Fl",0,Info!$D$10))-Info!$D$10)</f>
        <v>0</v>
      </c>
      <c r="H18" s="185">
        <f>IF(AND(Info!$C$46&gt;0,$E18&gt;$C18),Info!$C$46,)</f>
        <v>0</v>
      </c>
      <c r="I18" s="185"/>
      <c r="J18" s="175" t="str">
        <f>Info!AM18</f>
        <v/>
      </c>
      <c r="K18" s="323"/>
      <c r="L18" s="338"/>
      <c r="M18" s="327"/>
      <c r="P18" s="243"/>
      <c r="Q18" s="243"/>
      <c r="R18" s="243"/>
      <c r="S18" s="243"/>
      <c r="T18" s="243"/>
      <c r="U18" s="243"/>
      <c r="V18" s="243"/>
      <c r="W18" s="243"/>
      <c r="X18" s="243"/>
      <c r="Y18" s="243"/>
      <c r="Z18" s="243"/>
    </row>
    <row r="19" spans="1:26" s="11" customFormat="1" x14ac:dyDescent="0.2">
      <c r="A19" s="148" t="str">
        <f t="shared" si="0"/>
        <v/>
      </c>
      <c r="B19" s="68">
        <f t="shared" si="1"/>
        <v>41986</v>
      </c>
      <c r="C19" s="59"/>
      <c r="D19" s="59"/>
      <c r="E19" s="59"/>
      <c r="F19" s="59"/>
      <c r="G19" s="44" t="str">
        <f>IF(AND(WEEKDAY(B19,2)&gt;5,$C19=""),"",IF(E19&gt;0,(E19*60+F19)-(C19*60+D19)-H19+TRUNC(Info!$D$10*(I19/100)),IF(MID(C19,1,2)="Fl",0,Info!$D$10))-Info!$D$10)</f>
        <v/>
      </c>
      <c r="H19" s="185">
        <f>IF(AND(Info!$C$46&gt;0,$E19&gt;$C19),Info!$C$46,)</f>
        <v>0</v>
      </c>
      <c r="I19" s="185"/>
      <c r="J19" s="175" t="str">
        <f>Info!AM19</f>
        <v>Lusia</v>
      </c>
      <c r="K19" s="323"/>
      <c r="L19" s="338"/>
      <c r="M19" s="327"/>
      <c r="P19" s="243"/>
      <c r="Q19" s="243"/>
      <c r="R19" s="243"/>
      <c r="S19" s="243"/>
      <c r="T19" s="243"/>
      <c r="U19" s="243"/>
      <c r="V19" s="243"/>
      <c r="W19" s="243"/>
      <c r="X19" s="243"/>
      <c r="Y19" s="243"/>
      <c r="Z19" s="243"/>
    </row>
    <row r="20" spans="1:26" s="11" customFormat="1" x14ac:dyDescent="0.2">
      <c r="A20" s="148" t="str">
        <f t="shared" si="0"/>
        <v/>
      </c>
      <c r="B20" s="68">
        <f t="shared" si="1"/>
        <v>41987</v>
      </c>
      <c r="C20" s="59"/>
      <c r="D20" s="59"/>
      <c r="E20" s="59"/>
      <c r="F20" s="59"/>
      <c r="G20" s="44" t="str">
        <f>IF(AND(WEEKDAY(B20,2)&gt;5,$C20=""),"",IF(E20&gt;0,(E20*60+F20)-(C20*60+D20)-H20+TRUNC(Info!$D$10*(I20/100)),IF(MID(C20,1,2)="Fl",0,Info!$D$10))-Info!$D$10)</f>
        <v/>
      </c>
      <c r="H20" s="185">
        <f>IF(AND(Info!$C$46&gt;0,$E20&gt;$C20),Info!$C$46,)</f>
        <v>0</v>
      </c>
      <c r="I20" s="185"/>
      <c r="J20" s="175" t="str">
        <f>Info!AM20</f>
        <v/>
      </c>
      <c r="K20" s="323"/>
      <c r="L20" s="338"/>
      <c r="M20" s="327"/>
      <c r="P20" s="243"/>
      <c r="Q20" s="243"/>
      <c r="R20" s="243"/>
      <c r="S20" s="243"/>
      <c r="T20" s="243"/>
      <c r="U20" s="243"/>
      <c r="V20" s="243"/>
      <c r="W20" s="243"/>
      <c r="X20" s="243"/>
      <c r="Y20" s="243"/>
      <c r="Z20" s="243"/>
    </row>
    <row r="21" spans="1:26" s="11" customFormat="1" x14ac:dyDescent="0.2">
      <c r="A21" s="148">
        <f t="shared" si="0"/>
        <v>51</v>
      </c>
      <c r="B21" s="68">
        <f t="shared" si="1"/>
        <v>41988</v>
      </c>
      <c r="C21" s="59"/>
      <c r="D21" s="59"/>
      <c r="E21" s="59"/>
      <c r="F21" s="59"/>
      <c r="G21" s="44">
        <f>IF(AND(WEEKDAY(B21,2)&gt;5,$C21=""),"",IF(E21&gt;0,(E21*60+F21)-(C21*60+D21)-H21+TRUNC(Info!$D$10*(I21/100)),IF(MID(C21,1,2)="Fl",0,Info!$D$10))-Info!$D$10)</f>
        <v>0</v>
      </c>
      <c r="H21" s="185">
        <f>IF(AND(Info!$C$46&gt;0,$E21&gt;$C21),Info!$C$46,)</f>
        <v>0</v>
      </c>
      <c r="I21" s="185"/>
      <c r="J21" s="175" t="str">
        <f>Info!AM21</f>
        <v/>
      </c>
      <c r="K21" s="323"/>
      <c r="L21" s="338"/>
      <c r="M21" s="327"/>
      <c r="P21" s="243"/>
      <c r="Q21" s="243"/>
      <c r="R21" s="243"/>
      <c r="S21" s="243"/>
      <c r="T21" s="243"/>
      <c r="U21" s="243"/>
      <c r="V21" s="243"/>
      <c r="W21" s="243"/>
      <c r="X21" s="243"/>
      <c r="Y21" s="243"/>
      <c r="Z21" s="243"/>
    </row>
    <row r="22" spans="1:26" s="11" customFormat="1" x14ac:dyDescent="0.2">
      <c r="A22" s="148" t="str">
        <f t="shared" si="0"/>
        <v/>
      </c>
      <c r="B22" s="68">
        <f t="shared" si="1"/>
        <v>41989</v>
      </c>
      <c r="C22" s="59"/>
      <c r="D22" s="59"/>
      <c r="E22" s="59"/>
      <c r="F22" s="59"/>
      <c r="G22" s="44">
        <f>IF(AND(WEEKDAY(B22,2)&gt;5,$C22=""),"",IF(E22&gt;0,(E22*60+F22)-(C22*60+D22)-H22+TRUNC(Info!$D$10*(I22/100)),IF(MID(C22,1,2)="Fl",0,Info!$D$10))-Info!$D$10)</f>
        <v>0</v>
      </c>
      <c r="H22" s="185">
        <f>IF(AND(Info!$C$46&gt;0,$E22&gt;$C22),Info!$C$46,)</f>
        <v>0</v>
      </c>
      <c r="I22" s="185"/>
      <c r="J22" s="175" t="str">
        <f>Info!AM22</f>
        <v/>
      </c>
      <c r="K22" s="323"/>
      <c r="L22" s="338"/>
      <c r="M22" s="327"/>
      <c r="P22" s="243"/>
      <c r="Q22" s="243"/>
      <c r="R22" s="243"/>
      <c r="S22" s="243"/>
      <c r="T22" s="243"/>
      <c r="U22" s="243"/>
      <c r="V22" s="243"/>
      <c r="W22" s="243"/>
      <c r="X22" s="243"/>
      <c r="Y22" s="243"/>
      <c r="Z22" s="243"/>
    </row>
    <row r="23" spans="1:26" s="11" customFormat="1" x14ac:dyDescent="0.2">
      <c r="A23" s="148" t="str">
        <f t="shared" si="0"/>
        <v/>
      </c>
      <c r="B23" s="68">
        <f t="shared" si="1"/>
        <v>41990</v>
      </c>
      <c r="C23" s="59"/>
      <c r="D23" s="59"/>
      <c r="E23" s="59"/>
      <c r="F23" s="59"/>
      <c r="G23" s="44">
        <f>IF(AND(WEEKDAY(B23,2)&gt;5,$C23=""),"",IF(E23&gt;0,(E23*60+F23)-(C23*60+D23)-H23+TRUNC(Info!$D$10*(I23/100)),IF(MID(C23,1,2)="Fl",0,Info!$D$10))-Info!$D$10)</f>
        <v>0</v>
      </c>
      <c r="H23" s="185">
        <f>IF(AND(Info!$C$46&gt;0,$E23&gt;$C23),Info!$C$46,)</f>
        <v>0</v>
      </c>
      <c r="I23" s="185"/>
      <c r="J23" s="175" t="str">
        <f>Info!AM23</f>
        <v/>
      </c>
      <c r="K23" s="323"/>
      <c r="L23" s="338"/>
      <c r="M23" s="327"/>
      <c r="P23" s="243"/>
      <c r="Q23" s="243"/>
      <c r="R23" s="243"/>
      <c r="S23" s="243"/>
      <c r="T23" s="243"/>
      <c r="U23" s="243"/>
      <c r="V23" s="243"/>
      <c r="W23" s="243"/>
      <c r="X23" s="243"/>
      <c r="Y23" s="243"/>
      <c r="Z23" s="243"/>
    </row>
    <row r="24" spans="1:26" s="11" customFormat="1" x14ac:dyDescent="0.2">
      <c r="A24" s="148" t="str">
        <f t="shared" si="0"/>
        <v/>
      </c>
      <c r="B24" s="68">
        <f t="shared" si="1"/>
        <v>41991</v>
      </c>
      <c r="C24" s="59"/>
      <c r="D24" s="59"/>
      <c r="E24" s="59"/>
      <c r="F24" s="59"/>
      <c r="G24" s="44">
        <f>IF(AND(WEEKDAY(B24,2)&gt;5,$C24=""),"",IF(E24&gt;0,(E24*60+F24)-(C24*60+D24)-H24+TRUNC(Info!$D$10*(I24/100)),IF(MID(C24,1,2)="Fl",0,Info!$D$10))-Info!$D$10)</f>
        <v>0</v>
      </c>
      <c r="H24" s="185">
        <f>IF(AND(Info!$C$46&gt;0,$E24&gt;$C24),Info!$C$46,)</f>
        <v>0</v>
      </c>
      <c r="I24" s="185"/>
      <c r="J24" s="175" t="str">
        <f>Info!AM24</f>
        <v/>
      </c>
      <c r="K24" s="323"/>
      <c r="L24" s="338"/>
      <c r="M24" s="327"/>
      <c r="P24" s="243"/>
      <c r="Q24" s="243"/>
      <c r="R24" s="243"/>
      <c r="S24" s="243"/>
      <c r="T24" s="243"/>
      <c r="U24" s="243"/>
      <c r="V24" s="243"/>
      <c r="W24" s="243"/>
      <c r="X24" s="243"/>
      <c r="Y24" s="243"/>
      <c r="Z24" s="243"/>
    </row>
    <row r="25" spans="1:26" s="11" customFormat="1" x14ac:dyDescent="0.2">
      <c r="A25" s="148" t="str">
        <f t="shared" si="0"/>
        <v/>
      </c>
      <c r="B25" s="68">
        <f t="shared" si="1"/>
        <v>41992</v>
      </c>
      <c r="C25" s="59"/>
      <c r="D25" s="59"/>
      <c r="E25" s="59"/>
      <c r="F25" s="59"/>
      <c r="G25" s="44">
        <f>IF(AND(WEEKDAY(B25,2)&gt;5,$C25=""),"",IF(E25&gt;0,(E25*60+F25)-(C25*60+D25)-H25+TRUNC(Info!$D$10*(I25/100)),IF(MID(C25,1,2)="Fl",0,Info!$D$10))-Info!$D$10)</f>
        <v>0</v>
      </c>
      <c r="H25" s="185">
        <f>IF(AND(Info!$C$46&gt;0,$E25&gt;$C25),Info!$C$46,)</f>
        <v>0</v>
      </c>
      <c r="I25" s="185"/>
      <c r="J25" s="175" t="str">
        <f>Info!AM25</f>
        <v/>
      </c>
      <c r="K25" s="323"/>
      <c r="L25" s="338"/>
      <c r="M25" s="327"/>
      <c r="P25" s="243"/>
      <c r="Q25" s="243"/>
      <c r="R25" s="243"/>
      <c r="S25" s="243"/>
      <c r="T25" s="243"/>
      <c r="U25" s="243"/>
      <c r="V25" s="243"/>
      <c r="W25" s="243"/>
      <c r="X25" s="243"/>
      <c r="Y25" s="243"/>
      <c r="Z25" s="243"/>
    </row>
    <row r="26" spans="1:26" s="11" customFormat="1" x14ac:dyDescent="0.2">
      <c r="A26" s="148" t="str">
        <f t="shared" si="0"/>
        <v/>
      </c>
      <c r="B26" s="68">
        <f t="shared" si="1"/>
        <v>41993</v>
      </c>
      <c r="C26" s="59"/>
      <c r="D26" s="59"/>
      <c r="E26" s="59"/>
      <c r="F26" s="59"/>
      <c r="G26" s="44" t="str">
        <f>IF(AND(WEEKDAY(B26,2)&gt;5,$C26=""),"",IF(E26&gt;0,(E26*60+F26)-(C26*60+D26)-H26+TRUNC(Info!$D$10*(I26/100)),IF(MID(C26,1,2)="Fl",0,Info!$D$10))-Info!$D$10)</f>
        <v/>
      </c>
      <c r="H26" s="185">
        <f>IF(AND(Info!$C$46&gt;0,$E26&gt;$C26),Info!$C$46,)</f>
        <v>0</v>
      </c>
      <c r="I26" s="185"/>
      <c r="J26" s="175" t="str">
        <f>Info!AM26</f>
        <v/>
      </c>
      <c r="K26" s="323"/>
      <c r="L26" s="338"/>
      <c r="M26" s="327"/>
      <c r="P26" s="243"/>
      <c r="Q26" s="243"/>
      <c r="R26" s="243"/>
      <c r="S26" s="243"/>
      <c r="T26" s="243"/>
      <c r="U26" s="243"/>
      <c r="V26" s="243"/>
      <c r="W26" s="243"/>
      <c r="X26" s="243"/>
      <c r="Y26" s="243"/>
      <c r="Z26" s="243"/>
    </row>
    <row r="27" spans="1:26" s="11" customFormat="1" x14ac:dyDescent="0.2">
      <c r="A27" s="148" t="str">
        <f t="shared" si="0"/>
        <v/>
      </c>
      <c r="B27" s="68">
        <f t="shared" si="1"/>
        <v>41994</v>
      </c>
      <c r="C27" s="59"/>
      <c r="D27" s="59"/>
      <c r="E27" s="59"/>
      <c r="F27" s="59"/>
      <c r="G27" s="44" t="str">
        <f>IF(AND(WEEKDAY(B27,2)&gt;5,$C27=""),"",IF(E27&gt;0,(E27*60+F27)-(C27*60+D27)-H27+TRUNC(Info!$D$10*(I27/100)),IF(MID(C27,1,2)="Fl",0,Info!$D$10))-Info!$D$10)</f>
        <v/>
      </c>
      <c r="H27" s="185">
        <f>IF(AND(Info!$C$46&gt;0,$E27&gt;$C27),Info!$C$46,)</f>
        <v>0</v>
      </c>
      <c r="I27" s="185"/>
      <c r="J27" s="175" t="str">
        <f>Info!AM27</f>
        <v/>
      </c>
      <c r="K27" s="323"/>
      <c r="L27" s="338"/>
      <c r="M27" s="327"/>
      <c r="P27" s="243"/>
      <c r="Q27" s="243"/>
      <c r="R27" s="243"/>
      <c r="S27" s="243"/>
      <c r="T27" s="243"/>
      <c r="U27" s="243"/>
      <c r="V27" s="243"/>
      <c r="W27" s="243"/>
      <c r="X27" s="243"/>
      <c r="Y27" s="243"/>
      <c r="Z27" s="243"/>
    </row>
    <row r="28" spans="1:26" s="11" customFormat="1" x14ac:dyDescent="0.2">
      <c r="A28" s="148">
        <f t="shared" si="0"/>
        <v>52</v>
      </c>
      <c r="B28" s="68">
        <f t="shared" si="1"/>
        <v>41995</v>
      </c>
      <c r="C28" s="59"/>
      <c r="D28" s="59"/>
      <c r="E28" s="59"/>
      <c r="F28" s="59"/>
      <c r="G28" s="44">
        <f>IF(AND(WEEKDAY(B28,2)&gt;5,$C28=""),"",IF(E28&gt;0,(E28*60+F28)-(C28*60+D28)-H28+TRUNC(Info!$D$10*(I28/100)),IF(MID(C28,1,2)="Fl",0,Info!$D$10))-Info!$D$10)</f>
        <v>0</v>
      </c>
      <c r="H28" s="185">
        <f>IF(AND(Info!$C$46&gt;0,$E28&gt;$C28),Info!$C$46,)</f>
        <v>0</v>
      </c>
      <c r="I28" s="185"/>
      <c r="J28" s="175" t="str">
        <f>Info!AM28</f>
        <v/>
      </c>
      <c r="K28" s="323"/>
      <c r="L28" s="338"/>
      <c r="M28" s="327"/>
      <c r="P28" s="243"/>
      <c r="Q28" s="243"/>
      <c r="R28" s="243"/>
      <c r="S28" s="243"/>
      <c r="T28" s="243"/>
      <c r="U28" s="243"/>
      <c r="V28" s="243"/>
      <c r="W28" s="243"/>
      <c r="X28" s="243"/>
      <c r="Y28" s="243"/>
      <c r="Z28" s="243"/>
    </row>
    <row r="29" spans="1:26" s="11" customFormat="1" x14ac:dyDescent="0.2">
      <c r="A29" s="148" t="str">
        <f t="shared" si="0"/>
        <v/>
      </c>
      <c r="B29" s="68">
        <f t="shared" si="1"/>
        <v>41996</v>
      </c>
      <c r="C29" s="59"/>
      <c r="D29" s="59"/>
      <c r="E29" s="59"/>
      <c r="F29" s="59"/>
      <c r="G29" s="44">
        <f>IF(AND(WEEKDAY(B29,2)&gt;5,$C29=""),"",IF(E29&gt;0,(E29*60+F29)-(C29*60+D29)-H29+TRUNC(Info!$D$10*(I29/100)),IF(MID(C29,1,2)="Fl",0,Info!$D$10))-Info!$D$10)</f>
        <v>0</v>
      </c>
      <c r="H29" s="185">
        <f>IF(AND(Info!$C$46&gt;0,$E29&gt;$C29),Info!$C$46,)</f>
        <v>0</v>
      </c>
      <c r="I29" s="185"/>
      <c r="J29" s="175" t="str">
        <f>Info!AM29</f>
        <v/>
      </c>
      <c r="K29" s="323"/>
      <c r="L29" s="338"/>
      <c r="M29" s="327"/>
      <c r="P29" s="243"/>
      <c r="Q29" s="243"/>
      <c r="R29" s="243"/>
      <c r="S29" s="243"/>
      <c r="T29" s="243"/>
      <c r="U29" s="243"/>
      <c r="V29" s="243"/>
      <c r="W29" s="243"/>
      <c r="X29" s="243"/>
      <c r="Y29" s="243"/>
      <c r="Z29" s="243"/>
    </row>
    <row r="30" spans="1:26" s="11" customFormat="1" x14ac:dyDescent="0.2">
      <c r="A30" s="148" t="str">
        <f t="shared" si="0"/>
        <v/>
      </c>
      <c r="B30" s="68">
        <f t="shared" si="1"/>
        <v>41997</v>
      </c>
      <c r="C30" s="59"/>
      <c r="D30" s="59"/>
      <c r="E30" s="59"/>
      <c r="F30" s="59"/>
      <c r="G30" s="44">
        <f>IF(AND(WEEKDAY(B30,2)&gt;5,$C30=""),"",IF(E30&gt;0,(E30*60+F30)-(C30*60+D30)-H30+TRUNC(Info!$D$10*(I30/100)),IF(MID(C30,1,2)="Fl",0,Info!$D$12))-Info!$D$12)</f>
        <v>0</v>
      </c>
      <c r="H30" s="185"/>
      <c r="I30" s="185"/>
      <c r="J30" s="175" t="str">
        <f>Info!AM30</f>
        <v>Juleaften / halv dag</v>
      </c>
      <c r="K30" s="323"/>
      <c r="L30" s="338"/>
      <c r="M30" s="327"/>
      <c r="P30" s="243"/>
      <c r="Q30" s="243"/>
      <c r="R30" s="243"/>
      <c r="S30" s="243"/>
      <c r="T30" s="243"/>
      <c r="U30" s="243"/>
      <c r="V30" s="243"/>
      <c r="W30" s="243"/>
      <c r="X30" s="243"/>
      <c r="Y30" s="243"/>
      <c r="Z30" s="243"/>
    </row>
    <row r="31" spans="1:26" s="11" customFormat="1" x14ac:dyDescent="0.2">
      <c r="A31" s="148" t="str">
        <f t="shared" si="0"/>
        <v/>
      </c>
      <c r="B31" s="75">
        <f t="shared" si="1"/>
        <v>41998</v>
      </c>
      <c r="C31" s="58"/>
      <c r="D31" s="58"/>
      <c r="E31" s="58"/>
      <c r="F31" s="58"/>
      <c r="G31" s="43" t="str">
        <f>IF($C31="","",IF(E31&gt;0,(E31*60+F31)-(C31*60+D31)-H31+TRUNC(Info!$D$10*(I31/100)),IF(MID(C31,1,2)="Fl",0,Info!$D$10))-Info!$D$10)</f>
        <v/>
      </c>
      <c r="H31" s="187">
        <f>IF(AND(Info!$C$46&gt;0,$E31&gt;$C31),Info!$C$46,)</f>
        <v>0</v>
      </c>
      <c r="I31" s="187"/>
      <c r="J31" s="177" t="str">
        <f>Info!AM31</f>
        <v>1. juledag</v>
      </c>
      <c r="K31" s="344"/>
      <c r="L31" s="341"/>
      <c r="M31" s="327"/>
      <c r="P31" s="243"/>
      <c r="Q31" s="243"/>
      <c r="R31" s="243"/>
      <c r="S31" s="243"/>
      <c r="T31" s="243"/>
      <c r="U31" s="243"/>
      <c r="V31" s="243"/>
      <c r="W31" s="243"/>
      <c r="X31" s="243"/>
      <c r="Y31" s="243"/>
      <c r="Z31" s="243"/>
    </row>
    <row r="32" spans="1:26" s="11" customFormat="1" x14ac:dyDescent="0.2">
      <c r="A32" s="148" t="str">
        <f t="shared" si="0"/>
        <v/>
      </c>
      <c r="B32" s="75">
        <f t="shared" si="1"/>
        <v>41999</v>
      </c>
      <c r="C32" s="58"/>
      <c r="D32" s="58"/>
      <c r="E32" s="58"/>
      <c r="F32" s="58"/>
      <c r="G32" s="43" t="str">
        <f>IF($C32="","",IF(E32&gt;0,(E32*60+F32)-(C32*60+D32)-H32+TRUNC(Info!$D$10*(I32/100)),IF(MID(C32,1,2)="Fl",0,Info!$D$10))-Info!$D$10)</f>
        <v/>
      </c>
      <c r="H32" s="187">
        <f>IF(AND(Info!$C$46&gt;0,$E32&gt;$C32),Info!$C$46,)</f>
        <v>0</v>
      </c>
      <c r="I32" s="187"/>
      <c r="J32" s="177" t="str">
        <f>Info!AM32</f>
        <v>2. juledag</v>
      </c>
      <c r="K32" s="344"/>
      <c r="L32" s="341"/>
      <c r="M32" s="327"/>
      <c r="P32" s="243"/>
      <c r="Q32" s="243"/>
      <c r="R32" s="243"/>
      <c r="S32" s="243"/>
      <c r="T32" s="243"/>
      <c r="U32" s="243"/>
      <c r="V32" s="243"/>
      <c r="W32" s="243"/>
      <c r="X32" s="243"/>
      <c r="Y32" s="243"/>
      <c r="Z32" s="243"/>
    </row>
    <row r="33" spans="1:26" s="11" customFormat="1" x14ac:dyDescent="0.2">
      <c r="A33" s="148" t="str">
        <f t="shared" si="0"/>
        <v/>
      </c>
      <c r="B33" s="68">
        <f t="shared" si="1"/>
        <v>42000</v>
      </c>
      <c r="C33" s="59"/>
      <c r="D33" s="59"/>
      <c r="E33" s="59"/>
      <c r="F33" s="59"/>
      <c r="G33" s="44" t="str">
        <f>IF(AND(WEEKDAY(B33,2)&gt;5,$C33=""),"",IF(E33&gt;0,(E33*60+F33)-(C33*60+D33)-H33+TRUNC(Info!$D$10*(I33/100)),IF(MID(C33,1,2)="Fl",0,Info!$D$13))-Info!$D$13)</f>
        <v/>
      </c>
      <c r="H33" s="185">
        <f>IF(AND(Info!$C$46&gt;0,$E33&gt;$C33),Info!$C$46,)</f>
        <v>0</v>
      </c>
      <c r="I33" s="185"/>
      <c r="J33" s="175" t="str">
        <f>Info!AM33</f>
        <v/>
      </c>
      <c r="K33" s="323"/>
      <c r="L33" s="338"/>
      <c r="M33" s="327"/>
      <c r="P33" s="243"/>
      <c r="Q33" s="243"/>
      <c r="R33" s="243"/>
      <c r="S33" s="243"/>
      <c r="T33" s="243"/>
      <c r="U33" s="243"/>
      <c r="V33" s="243"/>
      <c r="W33" s="243"/>
      <c r="X33" s="243"/>
      <c r="Y33" s="243"/>
      <c r="Z33" s="243"/>
    </row>
    <row r="34" spans="1:26" s="11" customFormat="1" x14ac:dyDescent="0.2">
      <c r="A34" s="148" t="str">
        <f t="shared" si="0"/>
        <v/>
      </c>
      <c r="B34" s="68">
        <f t="shared" si="1"/>
        <v>42001</v>
      </c>
      <c r="C34" s="59"/>
      <c r="D34" s="59"/>
      <c r="E34" s="59"/>
      <c r="F34" s="59"/>
      <c r="G34" s="44" t="str">
        <f>IF(AND(WEEKDAY(B34,2)&gt;5,$C34=""),"",IF(E34&gt;0,(E34*60+F34)-(C34*60+D34)-H34+TRUNC(Info!$D$10*(I34/100)),IF(MID(C34,1,2)="Fl",0,Info!$D$13))-Info!$D$13)</f>
        <v/>
      </c>
      <c r="H34" s="185">
        <f>IF(AND(Info!$C$46&gt;0,$E34&gt;$C34),Info!$C$46,)</f>
        <v>0</v>
      </c>
      <c r="I34" s="185"/>
      <c r="J34" s="175" t="str">
        <f>Info!AM34</f>
        <v/>
      </c>
      <c r="K34" s="323"/>
      <c r="L34" s="338"/>
      <c r="M34" s="327"/>
      <c r="P34" s="243"/>
      <c r="Q34" s="243"/>
      <c r="R34" s="243"/>
      <c r="S34" s="243"/>
      <c r="T34" s="243"/>
      <c r="U34" s="243"/>
      <c r="V34" s="243"/>
      <c r="W34" s="243"/>
      <c r="X34" s="243"/>
      <c r="Y34" s="243"/>
      <c r="Z34" s="243"/>
    </row>
    <row r="35" spans="1:26" s="11" customFormat="1" x14ac:dyDescent="0.2">
      <c r="A35" s="148">
        <f t="shared" si="0"/>
        <v>1</v>
      </c>
      <c r="B35" s="68">
        <f t="shared" si="1"/>
        <v>42002</v>
      </c>
      <c r="C35" s="59"/>
      <c r="D35" s="59"/>
      <c r="E35" s="59"/>
      <c r="F35" s="59"/>
      <c r="G35" s="44">
        <f>IF(AND(WEEKDAY(B35,2)&gt;5,$C35=""),"",IF(E35&gt;0,(E35*60+F35)-(C35*60+D35)-H35+TRUNC(Info!$D$10*(I35/100)),IF(MID(C35,1,2)="Fl",0,Info!$D$13))-Info!$D$13)</f>
        <v>0</v>
      </c>
      <c r="H35" s="185">
        <f>IF(AND(Info!$C$46&gt;0,$E35&gt;$C35),Info!$C$46,)</f>
        <v>0</v>
      </c>
      <c r="I35" s="185"/>
      <c r="J35" s="175" t="str">
        <f>Info!AM35</f>
        <v/>
      </c>
      <c r="K35" s="323"/>
      <c r="L35" s="338"/>
      <c r="M35" s="327"/>
      <c r="P35" s="243"/>
      <c r="Q35" s="243"/>
      <c r="R35" s="243"/>
      <c r="S35" s="243"/>
      <c r="T35" s="243"/>
      <c r="U35" s="243"/>
      <c r="V35" s="243"/>
      <c r="W35" s="243"/>
      <c r="X35" s="243"/>
      <c r="Y35" s="243"/>
      <c r="Z35" s="243"/>
    </row>
    <row r="36" spans="1:26" s="11" customFormat="1" x14ac:dyDescent="0.2">
      <c r="A36" s="148" t="str">
        <f t="shared" si="0"/>
        <v/>
      </c>
      <c r="B36" s="68">
        <f t="shared" si="1"/>
        <v>42003</v>
      </c>
      <c r="C36" s="59"/>
      <c r="D36" s="59"/>
      <c r="E36" s="59"/>
      <c r="F36" s="59"/>
      <c r="G36" s="44">
        <f>IF(AND(WEEKDAY(B36,2)&gt;5,$C36=""),"",IF(E36&gt;0,(E36*60+F36)-(C36*60+D36)-H36+TRUNC(Info!$D$10*(I36/100)),IF(MID(C36,1,2)="Fl",0,Info!$D$13))-Info!$D$13)</f>
        <v>0</v>
      </c>
      <c r="H36" s="185">
        <f>IF(AND(Info!$C$46&gt;0,$E36&gt;$C36),Info!$C$46,)</f>
        <v>0</v>
      </c>
      <c r="I36" s="185"/>
      <c r="J36" s="175" t="str">
        <f>Info!AM36</f>
        <v/>
      </c>
      <c r="K36" s="323"/>
      <c r="L36" s="338"/>
      <c r="M36" s="327"/>
      <c r="P36" s="243"/>
      <c r="Q36" s="243"/>
      <c r="R36" s="243"/>
      <c r="S36" s="243"/>
      <c r="T36" s="243"/>
      <c r="U36" s="243"/>
      <c r="V36" s="243"/>
      <c r="W36" s="243"/>
      <c r="X36" s="243"/>
      <c r="Y36" s="243"/>
      <c r="Z36" s="243"/>
    </row>
    <row r="37" spans="1:26" s="11" customFormat="1" ht="13.5" thickBot="1" x14ac:dyDescent="0.25">
      <c r="A37" s="148" t="str">
        <f t="shared" si="0"/>
        <v/>
      </c>
      <c r="B37" s="69">
        <f t="shared" si="1"/>
        <v>42004</v>
      </c>
      <c r="C37" s="60"/>
      <c r="D37" s="60"/>
      <c r="E37" s="60"/>
      <c r="F37" s="60"/>
      <c r="G37" s="52">
        <f>IF(AND(WEEKDAY(B37,2)&gt;5,$C37=""),"",IF(E37&gt;0,(E37*60+F37)-(C37*60+D37)-H37+TRUNC(Info!$D$10*(I37/100)),IF(MID(C37,1,2)="Fl",0,Info!$D$12))-Info!$D$12)</f>
        <v>0</v>
      </c>
      <c r="H37" s="60"/>
      <c r="I37" s="60"/>
      <c r="J37" s="176" t="str">
        <f>Info!AM37</f>
        <v>Nyttårsaften / halv dag · Fødselsdag 114</v>
      </c>
      <c r="K37" s="323"/>
      <c r="L37" s="338"/>
      <c r="M37" s="327"/>
      <c r="P37" s="243"/>
      <c r="Q37" s="243"/>
      <c r="R37" s="243"/>
      <c r="S37" s="243"/>
      <c r="T37" s="243"/>
      <c r="U37" s="243"/>
      <c r="V37" s="243"/>
      <c r="W37" s="243"/>
      <c r="X37" s="243"/>
      <c r="Y37" s="243"/>
      <c r="Z37" s="243"/>
    </row>
    <row r="38" spans="1:26" x14ac:dyDescent="0.2">
      <c r="G38" s="45"/>
      <c r="H38" s="12"/>
      <c r="I38" s="12"/>
      <c r="K38" s="313">
        <f>SUM(K7:K37)</f>
        <v>0</v>
      </c>
      <c r="L38" s="313">
        <f>SUM(L7:L37)</f>
        <v>0</v>
      </c>
      <c r="M38" s="327"/>
      <c r="N38" s="337">
        <f>SUM(Nov!$K$27:'Nov'!$K35)+SUM($K$7:$K$26)</f>
        <v>0</v>
      </c>
    </row>
    <row r="39" spans="1:26" x14ac:dyDescent="0.2">
      <c r="K39" s="342" t="str">
        <f>ROUNDDOWN(K38/60,1)&amp;" t"</f>
        <v>0 t</v>
      </c>
      <c r="L39" s="96" t="s">
        <v>217</v>
      </c>
      <c r="N39" s="330" t="str">
        <f>ROUNDDOWN(N38/60,1)&amp;" t  i perioden 21."&amp;TEXT(B7-1,"m")&amp;"-20."&amp;TEXT(B7,"m")</f>
        <v>0 t  i perioden 21.11-20.12</v>
      </c>
    </row>
    <row r="40" spans="1:26" x14ac:dyDescent="0.2">
      <c r="B40" s="454" t="s">
        <v>141</v>
      </c>
      <c r="C40" s="455"/>
      <c r="D40" s="455"/>
      <c r="E40" s="456"/>
      <c r="F40" s="208" t="s">
        <v>48</v>
      </c>
      <c r="G40" s="209" t="s">
        <v>49</v>
      </c>
      <c r="H40" s="482" t="s">
        <v>50</v>
      </c>
      <c r="I40" s="460"/>
      <c r="J40" s="14" t="s">
        <v>19</v>
      </c>
      <c r="K40" s="92"/>
      <c r="L40" s="92"/>
    </row>
    <row r="41" spans="1:26" x14ac:dyDescent="0.2">
      <c r="B41" s="191" t="str">
        <f>J$2&amp;":"</f>
        <v>Desember:</v>
      </c>
      <c r="C41" s="1"/>
      <c r="D41" s="1"/>
      <c r="E41" s="40">
        <f>SUM(G$7:G$37)</f>
        <v>0</v>
      </c>
      <c r="F41" s="38">
        <f>TRUNC(E41/60,)</f>
        <v>0</v>
      </c>
      <c r="G41" s="50">
        <f>((E41/60)-F41)*60</f>
        <v>0</v>
      </c>
      <c r="H41" s="473"/>
      <c r="I41" s="474"/>
      <c r="J41" s="15" t="s">
        <v>145</v>
      </c>
      <c r="K41" s="92"/>
      <c r="L41" s="92"/>
    </row>
    <row r="42" spans="1:26" x14ac:dyDescent="0.2">
      <c r="B42" s="192" t="str">
        <f>"Fra "&amp;TEXT(($B$7-1),"mmmm")&amp;":"</f>
        <v>Fra november:</v>
      </c>
      <c r="C42" s="1"/>
      <c r="D42" s="1"/>
      <c r="E42" s="40">
        <f>Nov!$E$42</f>
        <v>0</v>
      </c>
      <c r="F42" s="39">
        <f>TRUNC(E42/60,)</f>
        <v>0</v>
      </c>
      <c r="G42" s="51">
        <f>((E42/60)-F42)*60</f>
        <v>0</v>
      </c>
      <c r="H42" s="473"/>
      <c r="I42" s="474"/>
      <c r="J42" s="15" t="s">
        <v>146</v>
      </c>
      <c r="K42" s="92"/>
      <c r="L42" s="92"/>
    </row>
    <row r="43" spans="1:26" x14ac:dyDescent="0.2">
      <c r="B43" s="210" t="s">
        <v>142</v>
      </c>
      <c r="C43" s="1"/>
      <c r="D43" s="1"/>
      <c r="E43" s="193">
        <f>E41+E42</f>
        <v>0</v>
      </c>
      <c r="F43" s="80">
        <f>TRUNC(E43/60,)</f>
        <v>0</v>
      </c>
      <c r="G43" s="81">
        <f>((E43/60)-F43)*60</f>
        <v>0</v>
      </c>
      <c r="H43" s="457">
        <f>E43/Info!$D$10</f>
        <v>0</v>
      </c>
      <c r="I43" s="451"/>
      <c r="J43" s="213" t="s">
        <v>147</v>
      </c>
      <c r="K43" s="92"/>
      <c r="L43" s="92"/>
    </row>
    <row r="44" spans="1:26" x14ac:dyDescent="0.2">
      <c r="B44" s="454" t="s">
        <v>133</v>
      </c>
      <c r="C44" s="455"/>
      <c r="D44" s="455"/>
      <c r="E44" s="456"/>
      <c r="F44" s="1"/>
      <c r="G44" s="46"/>
      <c r="H44" s="461">
        <f>IF(Info!$C$47="Ja",E43/Info!$D$11,)</f>
        <v>0</v>
      </c>
      <c r="I44" s="461"/>
      <c r="J44" s="17" t="s">
        <v>40</v>
      </c>
      <c r="K44" s="92"/>
      <c r="L44" s="92"/>
    </row>
    <row r="45" spans="1:26" x14ac:dyDescent="0.2">
      <c r="B45" s="191" t="str">
        <f>J$2&amp;":"</f>
        <v>Desember:</v>
      </c>
      <c r="C45" s="194"/>
      <c r="D45" s="195"/>
      <c r="E45" s="196">
        <f>COUNTIF(C$7:C$37,"Fe*")</f>
        <v>0</v>
      </c>
      <c r="G45" s="47"/>
      <c r="H45" s="18"/>
      <c r="I45" s="18"/>
      <c r="J45" s="25"/>
      <c r="K45" s="92"/>
      <c r="L45" s="92"/>
    </row>
    <row r="46" spans="1:26" x14ac:dyDescent="0.2">
      <c r="B46" s="192" t="s">
        <v>143</v>
      </c>
      <c r="C46" s="7"/>
      <c r="D46" s="7"/>
      <c r="E46" s="197">
        <f>Nov!$E$46</f>
        <v>0</v>
      </c>
      <c r="F46" s="10"/>
      <c r="G46" s="48"/>
      <c r="H46" s="19"/>
      <c r="I46" s="19"/>
      <c r="J46" s="26"/>
      <c r="K46" s="92"/>
      <c r="L46" s="92"/>
    </row>
    <row r="47" spans="1:26" x14ac:dyDescent="0.2">
      <c r="B47" s="211" t="s">
        <v>44</v>
      </c>
      <c r="C47" s="198"/>
      <c r="D47" s="198"/>
      <c r="E47" s="199">
        <f>E46-E45</f>
        <v>0</v>
      </c>
      <c r="F47" s="2"/>
      <c r="G47" s="48"/>
      <c r="H47" s="19"/>
      <c r="I47" s="19"/>
      <c r="J47" s="26"/>
      <c r="K47" s="92"/>
      <c r="L47" s="92"/>
    </row>
    <row r="48" spans="1:26" x14ac:dyDescent="0.2">
      <c r="B48" s="454" t="s">
        <v>140</v>
      </c>
      <c r="C48" s="455"/>
      <c r="D48" s="455"/>
      <c r="E48" s="456"/>
      <c r="F48" s="454" t="s">
        <v>87</v>
      </c>
      <c r="G48" s="458"/>
      <c r="H48" s="459"/>
      <c r="I48" s="460"/>
      <c r="K48" s="92"/>
      <c r="L48" s="92"/>
    </row>
    <row r="49" spans="2:12" x14ac:dyDescent="0.2">
      <c r="B49" s="191" t="str">
        <f>J$2&amp;":"</f>
        <v>Desember:</v>
      </c>
      <c r="C49" s="195"/>
      <c r="D49" s="195"/>
      <c r="E49" s="200">
        <f>COUNTIF(C$7:C$37,"S*")</f>
        <v>0</v>
      </c>
      <c r="F49" s="464" t="str">
        <f>IF(E49&gt;0,"- av disse","")</f>
        <v/>
      </c>
      <c r="G49" s="465"/>
      <c r="H49" s="466" t="str">
        <f>IF(E49&gt;0,E49-COUNTIF(C$7:C$37,"s*m*"),"")</f>
        <v/>
      </c>
      <c r="I49" s="467"/>
      <c r="K49" s="92"/>
      <c r="L49" s="92"/>
    </row>
    <row r="50" spans="2:12" x14ac:dyDescent="0.2">
      <c r="B50" s="211" t="str">
        <f>J$1&amp;":"</f>
        <v>2014:</v>
      </c>
      <c r="C50" s="198"/>
      <c r="D50" s="198"/>
      <c r="E50" s="201">
        <f>Nov!$E$49+E49</f>
        <v>0</v>
      </c>
      <c r="F50" s="452" t="s">
        <v>148</v>
      </c>
      <c r="G50" s="453"/>
      <c r="H50" s="450">
        <f>SUM(Info!$J$4:'Info'!$J$14)+E49-COUNTIF(C$7:C$37,"s*m*")</f>
        <v>0</v>
      </c>
      <c r="I50" s="451"/>
      <c r="K50" s="92"/>
      <c r="L50" s="92"/>
    </row>
    <row r="51" spans="2:12" x14ac:dyDescent="0.2">
      <c r="B51" s="454" t="s">
        <v>144</v>
      </c>
      <c r="C51" s="455"/>
      <c r="D51" s="455"/>
      <c r="E51" s="456"/>
      <c r="K51" s="92"/>
      <c r="L51" s="92"/>
    </row>
    <row r="52" spans="2:12" x14ac:dyDescent="0.2">
      <c r="B52" s="202" t="str">
        <f>"Sykt barn/-passer i "&amp;LOWER(J$2)&amp;":"</f>
        <v>Sykt barn/-passer i desember:</v>
      </c>
      <c r="C52" s="28"/>
      <c r="D52" s="203"/>
      <c r="E52" s="204">
        <f>COUNTIF(C$7:C$37,"P*b*")</f>
        <v>0</v>
      </c>
      <c r="F52" s="1"/>
      <c r="G52" s="49"/>
      <c r="H52" s="19"/>
      <c r="I52" s="19"/>
      <c r="K52" s="92"/>
      <c r="L52" s="92"/>
    </row>
    <row r="53" spans="2:12" x14ac:dyDescent="0.2">
      <c r="B53" s="205" t="str">
        <f>"Velferdspermisjon i "&amp;LOWER(J$2)&amp;":"</f>
        <v>Velferdspermisjon i desember:</v>
      </c>
      <c r="C53" s="1"/>
      <c r="D53" s="1"/>
      <c r="E53" s="206">
        <f>COUNTIF(C$7:C$37,"P*v*")</f>
        <v>0</v>
      </c>
      <c r="K53" s="92"/>
      <c r="L53" s="92"/>
    </row>
    <row r="54" spans="2:12" x14ac:dyDescent="0.2">
      <c r="B54" s="205" t="str">
        <f>"Annen permisjon i "&amp;LOWER(J$2)&amp;":"</f>
        <v>Annen permisjon i desember:</v>
      </c>
      <c r="C54" s="1"/>
      <c r="D54" s="1"/>
      <c r="E54" s="206">
        <f>COUNTIF(C$7:C$37,"P*a*")</f>
        <v>0</v>
      </c>
      <c r="J54" s="429"/>
      <c r="K54" s="92"/>
      <c r="L54" s="92"/>
    </row>
    <row r="55" spans="2:12" x14ac:dyDescent="0.2">
      <c r="B55" s="212" t="str">
        <f>J$1&amp;":"</f>
        <v>2014:</v>
      </c>
      <c r="C55" s="31"/>
      <c r="D55" s="31"/>
      <c r="E55" s="207">
        <f>Nov!$E$54+SUM(E52:E54)</f>
        <v>0</v>
      </c>
      <c r="J55" s="314" t="s">
        <v>233</v>
      </c>
      <c r="K55" s="92"/>
      <c r="L55" s="92"/>
    </row>
  </sheetData>
  <sheetProtection selectLockedCells="1"/>
  <mergeCells count="16">
    <mergeCell ref="K5:L5"/>
    <mergeCell ref="F49:G49"/>
    <mergeCell ref="F50:G50"/>
    <mergeCell ref="B51:E51"/>
    <mergeCell ref="B40:E40"/>
    <mergeCell ref="B44:E44"/>
    <mergeCell ref="B48:E48"/>
    <mergeCell ref="F48:I48"/>
    <mergeCell ref="H49:I49"/>
    <mergeCell ref="H50:I50"/>
    <mergeCell ref="H43:I43"/>
    <mergeCell ref="H44:I44"/>
    <mergeCell ref="H5:I5"/>
    <mergeCell ref="H40:I40"/>
    <mergeCell ref="H41:I41"/>
    <mergeCell ref="H42:I42"/>
  </mergeCells>
  <phoneticPr fontId="10" type="noConversion"/>
  <conditionalFormatting sqref="G7:G37">
    <cfRule type="expression" dxfId="23" priority="1" stopIfTrue="1">
      <formula>WEEKDAY($B7,2)&gt;5</formula>
    </cfRule>
  </conditionalFormatting>
  <conditionalFormatting sqref="A7">
    <cfRule type="expression" dxfId="22" priority="2" stopIfTrue="1">
      <formula>AND((TODAY()-WEEKDAY(TODAY(),2)+7)&gt;=B7,(TODAY()-WEEKDAY(TODAY(),2)&lt;B7))</formula>
    </cfRule>
  </conditionalFormatting>
  <conditionalFormatting sqref="A8:A37">
    <cfRule type="expression" dxfId="21" priority="3" stopIfTrue="1">
      <formula>(TODAY()-WEEKDAY(TODAY(),2)+1)=B8</formula>
    </cfRule>
  </conditionalFormatting>
  <conditionalFormatting sqref="H7:I37 C7:F37">
    <cfRule type="expression" dxfId="20" priority="4" stopIfTrue="1">
      <formula>$B7=TODAY()</formula>
    </cfRule>
    <cfRule type="expression" dxfId="19" priority="5" stopIfTrue="1">
      <formula>WEEKDAY($B7,2)&gt;5</formula>
    </cfRule>
  </conditionalFormatting>
  <conditionalFormatting sqref="B7:B37">
    <cfRule type="expression" dxfId="18" priority="6" stopIfTrue="1">
      <formula>AND(B7=TODAY(),OR(WEEKDAY(B7,2)&gt;5,LEFT($A7,1)=" "))</formula>
    </cfRule>
    <cfRule type="expression" dxfId="17" priority="7" stopIfTrue="1">
      <formula>B7=TODAY()</formula>
    </cfRule>
    <cfRule type="expression" dxfId="16" priority="8" stopIfTrue="1">
      <formula>OR(WEEKDAY($B7,2)&gt;5,LEFT($A7,1)=" ")</formula>
    </cfRule>
  </conditionalFormatting>
  <conditionalFormatting sqref="J7:J37">
    <cfRule type="expression" dxfId="15" priority="9" stopIfTrue="1">
      <formula>$B7=TODAY()</formula>
    </cfRule>
    <cfRule type="expression" dxfId="14" priority="10" stopIfTrue="1">
      <formula>WEEKDAY($B7,2)&gt;5</formula>
    </cfRule>
  </conditionalFormatting>
  <conditionalFormatting sqref="G6">
    <cfRule type="expression" dxfId="13" priority="11" stopIfTrue="1">
      <formula>AND(H43&gt;-0.99,H43&lt;-0.01)</formula>
    </cfRule>
    <cfRule type="expression" dxfId="12" priority="12" stopIfTrue="1">
      <formula>H43&lt;=-2</formula>
    </cfRule>
    <cfRule type="expression" dxfId="11" priority="13" stopIfTrue="1">
      <formula>AND(H43&gt;-1.99,H43&lt;-1)</formula>
    </cfRule>
  </conditionalFormatting>
  <conditionalFormatting sqref="N2:N6">
    <cfRule type="expression" dxfId="10" priority="31" stopIfTrue="1">
      <formula>MONTH($B$7)=MONTH(TODAY())</formula>
    </cfRule>
  </conditionalFormatting>
  <conditionalFormatting sqref="H50">
    <cfRule type="cellIs" dxfId="9" priority="14" stopIfTrue="1" operator="greaterThan">
      <formula>22</formula>
    </cfRule>
  </conditionalFormatting>
  <conditionalFormatting sqref="H43">
    <cfRule type="cellIs" dxfId="8" priority="15" stopIfTrue="1" operator="between">
      <formula>-0.4</formula>
      <formula>-0.9999999</formula>
    </cfRule>
    <cfRule type="cellIs" dxfId="7" priority="16" stopIfTrue="1" operator="lessThanOrEqual">
      <formula>-2</formula>
    </cfRule>
    <cfRule type="cellIs" dxfId="6" priority="17" stopIfTrue="1" operator="between">
      <formula>-1</formula>
      <formula>-1.99999999</formula>
    </cfRule>
  </conditionalFormatting>
  <conditionalFormatting sqref="K39">
    <cfRule type="expression" dxfId="5" priority="36" stopIfTrue="1">
      <formula>K38&lt;=0</formula>
    </cfRule>
  </conditionalFormatting>
  <conditionalFormatting sqref="L39">
    <cfRule type="expression" dxfId="4" priority="37" stopIfTrue="1">
      <formula>OR(K38&lt;=0,N38&lt;=0)</formula>
    </cfRule>
  </conditionalFormatting>
  <conditionalFormatting sqref="K38:L38">
    <cfRule type="cellIs" dxfId="3" priority="38" stopIfTrue="1" operator="lessThanOrEqual">
      <formula>0</formula>
    </cfRule>
  </conditionalFormatting>
  <conditionalFormatting sqref="K7:L37">
    <cfRule type="expression" dxfId="2" priority="39" stopIfTrue="1">
      <formula>$B7=TODAY()</formula>
    </cfRule>
    <cfRule type="expression" dxfId="1" priority="40" stopIfTrue="1">
      <formula>WEEKDAY($B7,2)&gt;5</formula>
    </cfRule>
  </conditionalFormatting>
  <conditionalFormatting sqref="N39">
    <cfRule type="expression" dxfId="0" priority="41" stopIfTrue="1">
      <formula>N38&lt;=0</formula>
    </cfRule>
  </conditionalFormatting>
  <pageMargins left="0.78740157480314965" right="0.19685039370078741" top="0.78740157480314965" bottom="0.98425196850393704" header="0.51181102362204722" footer="0.51181102362204722"/>
  <pageSetup paperSize="9" orientation="portrait" r:id="rId1"/>
  <headerFooter alignWithMargins="0">
    <oddFooter>&amp;R&amp;7ghe&amp;G 2011</oddFooter>
  </headerFooter>
  <ignoredErrors>
    <ignoredError sqref="J7:J36 J37 H7:H29 H31:H36" unlockedFormula="1"/>
  </ignoredErrors>
  <drawing r:id="rId2"/>
  <legacyDrawing r:id="rId3"/>
  <legacyDrawingHF r:id="rId4"/>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4"/>
  <sheetViews>
    <sheetView showGridLines="0" workbookViewId="0">
      <selection activeCell="A100" sqref="A100"/>
    </sheetView>
  </sheetViews>
  <sheetFormatPr baseColWidth="10" defaultRowHeight="12.75" x14ac:dyDescent="0.2"/>
  <cols>
    <col min="1" max="1" width="10" customWidth="1"/>
    <col min="2" max="2" width="15.140625" customWidth="1"/>
    <col min="3" max="3" width="2.7109375" customWidth="1"/>
    <col min="4" max="4" width="10.42578125" customWidth="1"/>
    <col min="5" max="5" width="13.5703125" customWidth="1"/>
    <col min="6" max="6" width="3.28515625" customWidth="1"/>
    <col min="7" max="7" width="7.140625" customWidth="1"/>
    <col min="8" max="8" width="14.7109375" customWidth="1"/>
  </cols>
  <sheetData>
    <row r="1" spans="1:8" x14ac:dyDescent="0.2">
      <c r="A1" s="92"/>
      <c r="B1" s="92"/>
      <c r="C1" s="92"/>
      <c r="F1" s="92"/>
      <c r="G1" s="92"/>
      <c r="H1" s="92"/>
    </row>
    <row r="2" spans="1:8" x14ac:dyDescent="0.2">
      <c r="A2" s="484">
        <f>Info!E1</f>
        <v>2014</v>
      </c>
      <c r="B2" s="485"/>
      <c r="C2" s="485"/>
      <c r="D2" s="485"/>
      <c r="E2" s="485"/>
      <c r="F2" s="485"/>
      <c r="G2" s="485"/>
      <c r="H2" s="485"/>
    </row>
    <row r="3" spans="1:8" x14ac:dyDescent="0.2">
      <c r="A3" s="485"/>
      <c r="B3" s="485"/>
      <c r="C3" s="485"/>
      <c r="D3" s="485"/>
      <c r="E3" s="485"/>
      <c r="F3" s="485"/>
      <c r="G3" s="485"/>
      <c r="H3" s="485"/>
    </row>
    <row r="4" spans="1:8" x14ac:dyDescent="0.2">
      <c r="A4" s="92"/>
      <c r="B4" s="92"/>
      <c r="C4" s="92"/>
      <c r="F4" s="92"/>
      <c r="G4" s="92"/>
      <c r="H4" s="92"/>
    </row>
    <row r="5" spans="1:8" x14ac:dyDescent="0.2">
      <c r="A5" s="92"/>
      <c r="B5" s="92"/>
      <c r="C5" s="92"/>
      <c r="F5" s="92"/>
      <c r="G5" s="92"/>
      <c r="H5" s="92"/>
    </row>
    <row r="6" spans="1:8" x14ac:dyDescent="0.2">
      <c r="A6" s="92"/>
      <c r="B6" s="92"/>
      <c r="C6" s="92"/>
      <c r="F6" s="92"/>
      <c r="G6" s="92"/>
      <c r="H6" s="92"/>
    </row>
    <row r="7" spans="1:8" x14ac:dyDescent="0.2">
      <c r="A7" s="92"/>
      <c r="B7" s="92"/>
      <c r="C7" s="92"/>
      <c r="F7" s="92"/>
      <c r="G7" s="92"/>
      <c r="H7" s="92"/>
    </row>
    <row r="8" spans="1:8" x14ac:dyDescent="0.2">
      <c r="A8" s="92"/>
      <c r="B8" s="92"/>
      <c r="C8" s="92"/>
      <c r="F8" s="92"/>
      <c r="G8" s="92"/>
      <c r="H8" s="92"/>
    </row>
    <row r="9" spans="1:8" x14ac:dyDescent="0.2">
      <c r="A9" s="92"/>
      <c r="B9" s="92"/>
      <c r="C9" s="92"/>
      <c r="F9" s="92"/>
      <c r="G9" s="92"/>
      <c r="H9" s="92"/>
    </row>
    <row r="10" spans="1:8" x14ac:dyDescent="0.2">
      <c r="A10" s="92"/>
      <c r="B10" s="92"/>
      <c r="C10" s="92"/>
      <c r="F10" s="92"/>
      <c r="G10" s="92"/>
      <c r="H10" s="92"/>
    </row>
    <row r="11" spans="1:8" x14ac:dyDescent="0.2">
      <c r="A11" s="92"/>
      <c r="B11" s="92"/>
      <c r="C11" s="92"/>
      <c r="F11" s="92"/>
      <c r="G11" s="92"/>
      <c r="H11" s="92"/>
    </row>
    <row r="12" spans="1:8" x14ac:dyDescent="0.2">
      <c r="A12" s="92"/>
      <c r="B12" s="92"/>
      <c r="C12" s="92"/>
      <c r="F12" s="92"/>
      <c r="G12" s="92"/>
      <c r="H12" s="92"/>
    </row>
    <row r="13" spans="1:8" x14ac:dyDescent="0.2">
      <c r="A13" s="92"/>
      <c r="B13" s="92"/>
      <c r="C13" s="92"/>
      <c r="F13" s="92"/>
      <c r="G13" s="92"/>
      <c r="H13" s="92"/>
    </row>
    <row r="14" spans="1:8" x14ac:dyDescent="0.2">
      <c r="A14" s="92"/>
      <c r="B14" s="92"/>
      <c r="C14" s="92"/>
      <c r="F14" s="92"/>
      <c r="G14" s="92"/>
      <c r="H14" s="92"/>
    </row>
    <row r="15" spans="1:8" x14ac:dyDescent="0.2">
      <c r="A15" s="92"/>
      <c r="B15" s="92"/>
      <c r="C15" s="92"/>
      <c r="F15" s="92"/>
      <c r="G15" s="92"/>
      <c r="H15" s="92"/>
    </row>
    <row r="16" spans="1:8" x14ac:dyDescent="0.2">
      <c r="A16" s="92"/>
      <c r="B16" s="92"/>
      <c r="C16" s="92"/>
      <c r="F16" s="92"/>
      <c r="G16" s="92"/>
      <c r="H16" s="92"/>
    </row>
    <row r="17" spans="1:8" x14ac:dyDescent="0.2">
      <c r="A17" s="92"/>
      <c r="B17" s="92"/>
      <c r="C17" s="92"/>
      <c r="F17" s="92"/>
      <c r="G17" s="92"/>
      <c r="H17" s="92"/>
    </row>
    <row r="18" spans="1:8" x14ac:dyDescent="0.2">
      <c r="A18" s="92"/>
      <c r="B18" s="92"/>
      <c r="C18" s="92"/>
      <c r="F18" s="92"/>
      <c r="G18" s="92"/>
      <c r="H18" s="92"/>
    </row>
    <row r="19" spans="1:8" x14ac:dyDescent="0.2">
      <c r="A19" s="92"/>
      <c r="B19" s="92"/>
      <c r="C19" s="92"/>
      <c r="F19" s="92"/>
      <c r="G19" s="92"/>
      <c r="H19" s="92"/>
    </row>
    <row r="20" spans="1:8" x14ac:dyDescent="0.2">
      <c r="A20" s="92"/>
      <c r="B20" s="92"/>
      <c r="C20" s="92"/>
      <c r="F20" s="92"/>
      <c r="G20" s="92"/>
      <c r="H20" s="92"/>
    </row>
    <row r="21" spans="1:8" x14ac:dyDescent="0.2">
      <c r="A21" s="92"/>
      <c r="F21" s="92"/>
      <c r="G21" s="92"/>
      <c r="H21" s="92"/>
    </row>
    <row r="22" spans="1:8" x14ac:dyDescent="0.2">
      <c r="A22" s="92"/>
      <c r="F22" s="92"/>
      <c r="G22" s="92"/>
      <c r="H22" s="92"/>
    </row>
    <row r="23" spans="1:8" x14ac:dyDescent="0.2">
      <c r="A23" s="92"/>
      <c r="F23" s="92"/>
      <c r="G23" s="92"/>
      <c r="H23" s="92"/>
    </row>
    <row r="24" spans="1:8" x14ac:dyDescent="0.2">
      <c r="A24" s="92"/>
      <c r="F24" s="92"/>
      <c r="G24" s="92"/>
      <c r="H24" s="92"/>
    </row>
    <row r="25" spans="1:8" x14ac:dyDescent="0.2">
      <c r="A25" s="92"/>
      <c r="F25" s="92"/>
      <c r="G25" s="92"/>
      <c r="H25" s="92"/>
    </row>
    <row r="26" spans="1:8" x14ac:dyDescent="0.2">
      <c r="A26" s="92"/>
      <c r="B26" s="92"/>
      <c r="C26" s="92"/>
      <c r="F26" s="92"/>
      <c r="G26" s="92"/>
      <c r="H26" s="92"/>
    </row>
    <row r="27" spans="1:8" x14ac:dyDescent="0.2">
      <c r="A27" s="92"/>
      <c r="B27" s="92"/>
      <c r="C27" s="92"/>
      <c r="F27" s="92"/>
      <c r="G27" s="92"/>
      <c r="H27" s="92"/>
    </row>
    <row r="28" spans="1:8" x14ac:dyDescent="0.2">
      <c r="A28" s="92"/>
      <c r="B28" s="92"/>
      <c r="C28" s="92"/>
      <c r="F28" s="92"/>
      <c r="G28" s="92"/>
      <c r="H28" s="92"/>
    </row>
    <row r="29" spans="1:8" x14ac:dyDescent="0.2">
      <c r="A29" s="92"/>
      <c r="B29" s="92"/>
      <c r="C29" s="92"/>
      <c r="F29" s="92"/>
      <c r="G29" s="92"/>
      <c r="H29" s="92"/>
    </row>
    <row r="30" spans="1:8" x14ac:dyDescent="0.2">
      <c r="A30" s="92"/>
      <c r="B30" s="92"/>
      <c r="C30" s="92"/>
      <c r="F30" s="92"/>
      <c r="G30" s="92"/>
      <c r="H30" s="92"/>
    </row>
    <row r="31" spans="1:8" x14ac:dyDescent="0.2">
      <c r="A31" s="92"/>
      <c r="B31" s="92"/>
      <c r="C31" s="92"/>
      <c r="F31" s="92"/>
      <c r="G31" s="92"/>
      <c r="H31" s="92"/>
    </row>
    <row r="32" spans="1:8" x14ac:dyDescent="0.2">
      <c r="A32" s="92"/>
      <c r="B32" s="92"/>
      <c r="C32" s="92"/>
      <c r="F32" s="92"/>
      <c r="G32" s="92"/>
      <c r="H32" s="92"/>
    </row>
    <row r="33" spans="1:8" x14ac:dyDescent="0.2">
      <c r="A33" s="92"/>
      <c r="B33" s="92"/>
      <c r="C33" s="92"/>
      <c r="F33" s="92"/>
      <c r="G33" s="92"/>
      <c r="H33" s="92"/>
    </row>
    <row r="34" spans="1:8" x14ac:dyDescent="0.2">
      <c r="A34" s="92"/>
      <c r="B34" s="92"/>
      <c r="C34" s="92"/>
      <c r="F34" s="92"/>
      <c r="G34" s="92"/>
      <c r="H34" s="92"/>
    </row>
    <row r="35" spans="1:8" x14ac:dyDescent="0.2">
      <c r="A35" s="92"/>
      <c r="B35" s="92"/>
      <c r="C35" s="92"/>
      <c r="F35" s="92"/>
      <c r="G35" s="92"/>
      <c r="H35" s="92"/>
    </row>
    <row r="36" spans="1:8" x14ac:dyDescent="0.2">
      <c r="A36" s="92"/>
      <c r="B36" s="92"/>
      <c r="C36" s="92"/>
      <c r="F36" s="92"/>
      <c r="G36" s="92"/>
      <c r="H36" s="92"/>
    </row>
    <row r="37" spans="1:8" x14ac:dyDescent="0.2">
      <c r="A37" s="92"/>
      <c r="B37" s="92"/>
      <c r="C37" s="92"/>
      <c r="F37" s="92"/>
      <c r="G37" s="92"/>
      <c r="H37" s="92"/>
    </row>
    <row r="38" spans="1:8" x14ac:dyDescent="0.2">
      <c r="A38" s="92"/>
      <c r="B38" s="92"/>
      <c r="C38" s="92"/>
      <c r="F38" s="92"/>
      <c r="G38" s="92"/>
      <c r="H38" s="92"/>
    </row>
    <row r="39" spans="1:8" x14ac:dyDescent="0.2">
      <c r="A39" s="92"/>
      <c r="B39" s="92"/>
      <c r="C39" s="92"/>
      <c r="F39" s="92"/>
      <c r="G39" s="92"/>
      <c r="H39" s="92"/>
    </row>
    <row r="40" spans="1:8" x14ac:dyDescent="0.2">
      <c r="A40" s="92"/>
      <c r="B40" s="92"/>
      <c r="C40" s="92"/>
      <c r="F40" s="92"/>
      <c r="G40" s="92"/>
      <c r="H40" s="92"/>
    </row>
    <row r="41" spans="1:8" x14ac:dyDescent="0.2">
      <c r="A41" s="92"/>
      <c r="B41" s="92"/>
      <c r="C41" s="92"/>
      <c r="F41" s="92"/>
      <c r="G41" s="92"/>
      <c r="H41" s="92"/>
    </row>
    <row r="42" spans="1:8" x14ac:dyDescent="0.2">
      <c r="A42" s="92"/>
      <c r="B42" s="92"/>
      <c r="C42" s="92"/>
      <c r="F42" s="92"/>
      <c r="G42" s="92"/>
      <c r="H42" s="92"/>
    </row>
    <row r="44" spans="1:8" ht="14.25" x14ac:dyDescent="0.2">
      <c r="A44" s="490" t="s">
        <v>184</v>
      </c>
      <c r="B44" s="491"/>
      <c r="C44" s="491"/>
      <c r="D44" s="491"/>
      <c r="E44" s="491"/>
      <c r="F44" s="491"/>
      <c r="G44" s="491"/>
      <c r="H44" s="492"/>
    </row>
    <row r="45" spans="1:8" x14ac:dyDescent="0.2">
      <c r="A45" s="276">
        <f>Dager!C4</f>
        <v>41640</v>
      </c>
      <c r="B45" s="247" t="s">
        <v>185</v>
      </c>
      <c r="C45" s="272"/>
      <c r="D45" s="277">
        <f>Dager!C10</f>
        <v>41760</v>
      </c>
      <c r="E45" s="269" t="s">
        <v>191</v>
      </c>
      <c r="F45" s="488" t="str">
        <f>IF(H45="","",Info!AO20)</f>
        <v/>
      </c>
      <c r="G45" s="489"/>
      <c r="H45" s="274" t="str">
        <f>Info!AP20</f>
        <v/>
      </c>
    </row>
    <row r="46" spans="1:8" x14ac:dyDescent="0.2">
      <c r="A46" s="246">
        <f>Dager!C5</f>
        <v>41700</v>
      </c>
      <c r="B46" s="245" t="str">
        <f>Dager!B5</f>
        <v>Fastelaven</v>
      </c>
      <c r="C46" s="272"/>
      <c r="D46" s="279">
        <f>DATE(Dager!C3,5,8)</f>
        <v>41767</v>
      </c>
      <c r="E46" s="269" t="s">
        <v>186</v>
      </c>
      <c r="F46" s="488" t="str">
        <f>IF(H46="","",Info!AO21)</f>
        <v/>
      </c>
      <c r="G46" s="489"/>
      <c r="H46" s="274" t="str">
        <f>Info!AP21</f>
        <v/>
      </c>
    </row>
    <row r="47" spans="1:8" x14ac:dyDescent="0.2">
      <c r="A47" s="13"/>
      <c r="B47" s="1"/>
      <c r="C47" s="272"/>
      <c r="D47" s="277">
        <f>Dager!C11</f>
        <v>41776</v>
      </c>
      <c r="E47" s="269" t="s">
        <v>187</v>
      </c>
      <c r="F47" s="488" t="str">
        <f>IF(H47="","",Info!AO22)</f>
        <v/>
      </c>
      <c r="G47" s="489"/>
      <c r="H47" s="274" t="str">
        <f>Info!AP22</f>
        <v/>
      </c>
    </row>
    <row r="48" spans="1:8" x14ac:dyDescent="0.2">
      <c r="A48" s="249">
        <f>Dager!C6</f>
        <v>41742</v>
      </c>
      <c r="B48" s="245" t="str">
        <f>Dager!B6</f>
        <v>Palmesøndag</v>
      </c>
      <c r="C48" s="272"/>
      <c r="D48" s="271">
        <f>Dager!C8</f>
        <v>41788</v>
      </c>
      <c r="E48" s="269" t="str">
        <f>Dager!B8</f>
        <v>Kr. himmelfart</v>
      </c>
      <c r="F48" s="488" t="str">
        <f>IF(H48="","",Info!AO23)</f>
        <v/>
      </c>
      <c r="G48" s="489"/>
      <c r="H48" s="274" t="str">
        <f>Info!AP23</f>
        <v/>
      </c>
    </row>
    <row r="49" spans="1:8" x14ac:dyDescent="0.2">
      <c r="A49" s="249">
        <f>Dager!C7-3</f>
        <v>41746</v>
      </c>
      <c r="B49" s="245" t="s">
        <v>124</v>
      </c>
      <c r="C49" s="272"/>
      <c r="D49" s="271">
        <f>Dager!C9</f>
        <v>41798</v>
      </c>
      <c r="E49" s="269" t="str">
        <f>Dager!B9</f>
        <v>1. pinsedag</v>
      </c>
      <c r="F49" s="488" t="str">
        <f>IF(H49="","",Info!AO24)</f>
        <v/>
      </c>
      <c r="G49" s="489"/>
      <c r="H49" s="274" t="str">
        <f>Info!AP24</f>
        <v/>
      </c>
    </row>
    <row r="50" spans="1:8" x14ac:dyDescent="0.2">
      <c r="A50" s="249">
        <f>Dager!C7-2</f>
        <v>41747</v>
      </c>
      <c r="B50" s="247" t="s">
        <v>123</v>
      </c>
      <c r="C50" s="272"/>
      <c r="D50" s="263">
        <f>Dager!C9+1</f>
        <v>41799</v>
      </c>
      <c r="E50" s="270" t="s">
        <v>121</v>
      </c>
      <c r="F50" s="488" t="str">
        <f>IF(H50="","",Info!AO25)</f>
        <v/>
      </c>
      <c r="G50" s="489"/>
      <c r="H50" s="274" t="str">
        <f>Info!AP25</f>
        <v/>
      </c>
    </row>
    <row r="51" spans="1:8" x14ac:dyDescent="0.2">
      <c r="A51" s="249">
        <f>Dager!C7</f>
        <v>41749</v>
      </c>
      <c r="B51" s="247" t="str">
        <f>Dager!B7</f>
        <v>1. påskedag</v>
      </c>
      <c r="C51" s="272"/>
      <c r="D51" s="278">
        <f>Dager!C13</f>
        <v>41997</v>
      </c>
      <c r="E51" s="248" t="s">
        <v>81</v>
      </c>
      <c r="F51" s="488" t="str">
        <f>IF(H51="","",Info!AO26)</f>
        <v/>
      </c>
      <c r="G51" s="493"/>
      <c r="H51" s="274" t="str">
        <f>Info!AP26</f>
        <v/>
      </c>
    </row>
    <row r="52" spans="1:8" x14ac:dyDescent="0.2">
      <c r="A52" s="264">
        <f>Dager!C7+1</f>
        <v>41750</v>
      </c>
      <c r="B52" s="265" t="s">
        <v>122</v>
      </c>
      <c r="C52" s="272"/>
      <c r="D52" s="280">
        <v>40537</v>
      </c>
      <c r="E52" s="248" t="s">
        <v>188</v>
      </c>
      <c r="F52" s="488" t="str">
        <f>IF(H52="","",Info!AO27)</f>
        <v/>
      </c>
      <c r="G52" s="493"/>
      <c r="H52" s="274" t="str">
        <f>Info!AP27</f>
        <v/>
      </c>
    </row>
    <row r="53" spans="1:8" x14ac:dyDescent="0.2">
      <c r="A53" s="13"/>
      <c r="B53" s="1"/>
      <c r="C53" s="272"/>
      <c r="D53" s="280">
        <v>40538</v>
      </c>
      <c r="E53" s="248" t="s">
        <v>190</v>
      </c>
      <c r="F53" s="488" t="str">
        <f>IF(H53="","",Info!AO28)</f>
        <v/>
      </c>
      <c r="G53" s="493"/>
      <c r="H53" s="274" t="str">
        <f>Info!AP28</f>
        <v/>
      </c>
    </row>
    <row r="54" spans="1:8" x14ac:dyDescent="0.2">
      <c r="A54" s="13"/>
      <c r="B54" s="1"/>
      <c r="C54" s="272"/>
      <c r="D54" s="278">
        <v>40543</v>
      </c>
      <c r="E54" s="248" t="s">
        <v>189</v>
      </c>
      <c r="F54" s="488" t="str">
        <f>IF(H54="","",Info!AO29)</f>
        <v/>
      </c>
      <c r="G54" s="493"/>
      <c r="H54" s="274" t="str">
        <f>Info!AP29</f>
        <v/>
      </c>
    </row>
    <row r="55" spans="1:8" x14ac:dyDescent="0.2">
      <c r="A55" s="266"/>
      <c r="B55" s="267"/>
      <c r="C55" s="273"/>
      <c r="D55" s="267"/>
      <c r="E55" s="267"/>
      <c r="F55" s="486">
        <f>IF(H55="","",Info!AO30)</f>
        <v>42004</v>
      </c>
      <c r="G55" s="487"/>
      <c r="H55" s="275" t="str">
        <f>Info!AP30</f>
        <v xml:space="preserve"> · Fødselsdag 114</v>
      </c>
    </row>
    <row r="57" spans="1:8" x14ac:dyDescent="0.2">
      <c r="A57" s="92"/>
      <c r="B57" s="92"/>
      <c r="C57" s="92"/>
      <c r="F57" s="92"/>
      <c r="G57" s="92"/>
      <c r="H57" s="92"/>
    </row>
    <row r="58" spans="1:8" x14ac:dyDescent="0.2">
      <c r="A58" s="92"/>
      <c r="B58" s="92"/>
      <c r="C58" s="92"/>
      <c r="F58" s="92"/>
      <c r="G58" s="92"/>
      <c r="H58" s="92"/>
    </row>
    <row r="59" spans="1:8" x14ac:dyDescent="0.2">
      <c r="A59" s="92"/>
      <c r="B59" s="92"/>
      <c r="C59" s="92"/>
      <c r="F59" s="92"/>
      <c r="G59" s="92"/>
      <c r="H59" s="92"/>
    </row>
    <row r="60" spans="1:8" x14ac:dyDescent="0.2">
      <c r="A60" s="92"/>
      <c r="B60" s="92"/>
      <c r="C60" s="92"/>
      <c r="F60" s="92"/>
      <c r="G60" s="92"/>
      <c r="H60" s="92"/>
    </row>
    <row r="61" spans="1:8" x14ac:dyDescent="0.2">
      <c r="A61" s="92"/>
      <c r="B61" s="92"/>
      <c r="C61" s="92"/>
      <c r="F61" s="92"/>
      <c r="G61" s="92"/>
      <c r="H61" s="92"/>
    </row>
    <row r="62" spans="1:8" x14ac:dyDescent="0.2">
      <c r="A62" s="92"/>
      <c r="B62" s="92"/>
      <c r="C62" s="92"/>
      <c r="F62" s="92"/>
      <c r="G62" s="92"/>
      <c r="H62" s="92"/>
    </row>
    <row r="63" spans="1:8" x14ac:dyDescent="0.2">
      <c r="A63" s="92"/>
      <c r="B63" s="92"/>
      <c r="C63" s="92"/>
      <c r="F63" s="92"/>
      <c r="G63" s="92"/>
      <c r="H63" s="92"/>
    </row>
    <row r="64" spans="1:8" x14ac:dyDescent="0.2">
      <c r="A64" s="92"/>
      <c r="B64" s="92"/>
      <c r="C64" s="92"/>
      <c r="F64" s="92"/>
      <c r="G64" s="92"/>
      <c r="H64" s="92"/>
    </row>
    <row r="65" spans="1:8" x14ac:dyDescent="0.2">
      <c r="A65" s="92"/>
      <c r="B65" s="92"/>
      <c r="C65" s="92"/>
      <c r="F65" s="92"/>
      <c r="G65" s="92"/>
      <c r="H65" s="92"/>
    </row>
    <row r="66" spans="1:8" x14ac:dyDescent="0.2">
      <c r="A66" s="92"/>
      <c r="B66" s="92"/>
      <c r="C66" s="92"/>
      <c r="F66" s="92"/>
      <c r="G66" s="92"/>
      <c r="H66" s="92"/>
    </row>
    <row r="67" spans="1:8" x14ac:dyDescent="0.2">
      <c r="A67" s="92"/>
      <c r="B67" s="92"/>
      <c r="C67" s="92"/>
      <c r="F67" s="92"/>
      <c r="G67" s="92"/>
      <c r="H67" s="92"/>
    </row>
    <row r="68" spans="1:8" x14ac:dyDescent="0.2">
      <c r="A68" s="92"/>
      <c r="B68" s="92"/>
      <c r="C68" s="92"/>
      <c r="F68" s="92"/>
      <c r="G68" s="92"/>
      <c r="H68" s="92"/>
    </row>
    <row r="69" spans="1:8" x14ac:dyDescent="0.2">
      <c r="A69" s="92"/>
      <c r="B69" s="92"/>
      <c r="C69" s="92"/>
      <c r="F69" s="92"/>
      <c r="G69" s="92"/>
      <c r="H69" s="92"/>
    </row>
    <row r="70" spans="1:8" x14ac:dyDescent="0.2">
      <c r="A70" s="92"/>
      <c r="B70" s="92"/>
      <c r="C70" s="92"/>
      <c r="F70" s="92"/>
      <c r="G70" s="92"/>
      <c r="H70" s="92"/>
    </row>
    <row r="71" spans="1:8" x14ac:dyDescent="0.2">
      <c r="A71" s="92"/>
      <c r="B71" s="92"/>
      <c r="C71" s="92"/>
      <c r="F71" s="92"/>
      <c r="G71" s="92"/>
      <c r="H71" s="92"/>
    </row>
    <row r="72" spans="1:8" x14ac:dyDescent="0.2">
      <c r="A72" s="92"/>
      <c r="B72" s="92"/>
      <c r="C72" s="92"/>
      <c r="F72" s="92"/>
      <c r="G72" s="92"/>
      <c r="H72" s="92"/>
    </row>
    <row r="73" spans="1:8" x14ac:dyDescent="0.2">
      <c r="A73" s="92"/>
      <c r="B73" s="92"/>
      <c r="C73" s="92"/>
      <c r="F73" s="92"/>
      <c r="G73" s="92"/>
      <c r="H73" s="92"/>
    </row>
    <row r="74" spans="1:8" x14ac:dyDescent="0.2">
      <c r="A74" s="92"/>
      <c r="B74" s="92"/>
      <c r="C74" s="92"/>
      <c r="F74" s="92"/>
      <c r="G74" s="92"/>
      <c r="H74" s="92"/>
    </row>
    <row r="75" spans="1:8" x14ac:dyDescent="0.2">
      <c r="A75" s="92"/>
      <c r="B75" s="92"/>
      <c r="C75" s="92"/>
      <c r="F75" s="92"/>
      <c r="G75" s="92"/>
      <c r="H75" s="92"/>
    </row>
    <row r="76" spans="1:8" x14ac:dyDescent="0.2">
      <c r="A76" s="92"/>
      <c r="B76" s="92"/>
      <c r="C76" s="92"/>
      <c r="F76" s="92"/>
      <c r="G76" s="92"/>
      <c r="H76" s="92"/>
    </row>
    <row r="77" spans="1:8" x14ac:dyDescent="0.2">
      <c r="A77" s="92"/>
      <c r="B77" s="92"/>
      <c r="C77" s="92"/>
      <c r="F77" s="92"/>
      <c r="G77" s="92"/>
      <c r="H77" s="92"/>
    </row>
    <row r="78" spans="1:8" x14ac:dyDescent="0.2">
      <c r="A78" s="92"/>
      <c r="B78" s="92"/>
      <c r="C78" s="92"/>
      <c r="F78" s="92"/>
      <c r="G78" s="92"/>
      <c r="H78" s="92"/>
    </row>
    <row r="79" spans="1:8" x14ac:dyDescent="0.2">
      <c r="A79" s="92"/>
      <c r="B79" s="92"/>
      <c r="C79" s="92"/>
      <c r="F79" s="92"/>
      <c r="G79" s="92"/>
      <c r="H79" s="92"/>
    </row>
    <row r="80" spans="1:8" x14ac:dyDescent="0.2">
      <c r="A80" s="92"/>
      <c r="B80" s="92"/>
      <c r="C80" s="92"/>
      <c r="F80" s="92"/>
      <c r="G80" s="92"/>
      <c r="H80" s="92"/>
    </row>
    <row r="81" spans="1:8" x14ac:dyDescent="0.2">
      <c r="A81" s="92"/>
      <c r="B81" s="92"/>
      <c r="C81" s="92"/>
      <c r="F81" s="92"/>
      <c r="G81" s="92"/>
      <c r="H81" s="92"/>
    </row>
    <row r="82" spans="1:8" x14ac:dyDescent="0.2">
      <c r="A82" s="92"/>
      <c r="B82" s="92"/>
      <c r="C82" s="92"/>
      <c r="F82" s="92"/>
      <c r="G82" s="92"/>
      <c r="H82" s="92"/>
    </row>
    <row r="83" spans="1:8" x14ac:dyDescent="0.2">
      <c r="A83" s="92"/>
      <c r="B83" s="92"/>
      <c r="C83" s="92"/>
      <c r="F83" s="92"/>
      <c r="G83" s="92"/>
      <c r="H83" s="92"/>
    </row>
    <row r="84" spans="1:8" x14ac:dyDescent="0.2">
      <c r="A84" s="92"/>
      <c r="B84" s="92"/>
      <c r="C84" s="92"/>
      <c r="F84" s="92"/>
      <c r="G84" s="92"/>
      <c r="H84" s="92"/>
    </row>
    <row r="85" spans="1:8" x14ac:dyDescent="0.2">
      <c r="A85" s="92"/>
      <c r="B85" s="92"/>
      <c r="C85" s="92"/>
      <c r="F85" s="92"/>
      <c r="G85" s="92"/>
      <c r="H85" s="92"/>
    </row>
    <row r="86" spans="1:8" x14ac:dyDescent="0.2">
      <c r="A86" s="92"/>
      <c r="B86" s="92"/>
      <c r="C86" s="92"/>
      <c r="F86" s="92"/>
      <c r="G86" s="92"/>
      <c r="H86" s="92"/>
    </row>
    <row r="87" spans="1:8" x14ac:dyDescent="0.2">
      <c r="A87" s="92"/>
      <c r="B87" s="92"/>
      <c r="C87" s="92"/>
      <c r="F87" s="92"/>
      <c r="G87" s="92"/>
      <c r="H87" s="92"/>
    </row>
    <row r="88" spans="1:8" x14ac:dyDescent="0.2">
      <c r="A88" s="92"/>
      <c r="B88" s="92"/>
      <c r="C88" s="92"/>
      <c r="F88" s="92"/>
      <c r="G88" s="92"/>
      <c r="H88" s="92"/>
    </row>
    <row r="89" spans="1:8" x14ac:dyDescent="0.2">
      <c r="A89" s="92"/>
      <c r="B89" s="92"/>
      <c r="C89" s="92"/>
      <c r="F89" s="92"/>
      <c r="G89" s="92"/>
      <c r="H89" s="92"/>
    </row>
    <row r="90" spans="1:8" x14ac:dyDescent="0.2">
      <c r="A90" s="92"/>
      <c r="B90" s="92"/>
      <c r="C90" s="92"/>
      <c r="F90" s="92"/>
      <c r="G90" s="92"/>
      <c r="H90" s="92"/>
    </row>
    <row r="91" spans="1:8" x14ac:dyDescent="0.2">
      <c r="A91" s="92"/>
      <c r="B91" s="92"/>
      <c r="C91" s="92"/>
      <c r="F91" s="92"/>
      <c r="G91" s="92"/>
      <c r="H91" s="92"/>
    </row>
    <row r="92" spans="1:8" x14ac:dyDescent="0.2">
      <c r="A92" s="92"/>
      <c r="B92" s="92"/>
      <c r="C92" s="92"/>
      <c r="F92" s="92"/>
      <c r="G92" s="92"/>
      <c r="H92" s="92"/>
    </row>
    <row r="93" spans="1:8" x14ac:dyDescent="0.2">
      <c r="A93" s="92"/>
      <c r="B93" s="92"/>
      <c r="C93" s="92"/>
      <c r="F93" s="92"/>
      <c r="G93" s="92"/>
      <c r="H93" s="92"/>
    </row>
    <row r="94" spans="1:8" x14ac:dyDescent="0.2">
      <c r="A94" s="92"/>
      <c r="B94" s="92"/>
      <c r="C94" s="92"/>
      <c r="F94" s="92"/>
      <c r="G94" s="92"/>
      <c r="H94" s="92"/>
    </row>
  </sheetData>
  <sheetProtection selectLockedCells="1"/>
  <mergeCells count="13">
    <mergeCell ref="A2:H3"/>
    <mergeCell ref="F55:G55"/>
    <mergeCell ref="F46:G46"/>
    <mergeCell ref="F45:G45"/>
    <mergeCell ref="A44:H44"/>
    <mergeCell ref="F51:G51"/>
    <mergeCell ref="F52:G52"/>
    <mergeCell ref="F53:G53"/>
    <mergeCell ref="F54:G54"/>
    <mergeCell ref="F47:G47"/>
    <mergeCell ref="F48:G48"/>
    <mergeCell ref="F49:G49"/>
    <mergeCell ref="F50:G50"/>
  </mergeCells>
  <phoneticPr fontId="10" type="noConversion"/>
  <pageMargins left="1.1811023622047245" right="0.78740157480314965" top="0.78740157480314965" bottom="0.98425196850393704" header="0.51181102362204722" footer="0.51181102362204722"/>
  <pageSetup paperSize="9" orientation="portrait" horizontalDpi="300" verticalDpi="300" r:id="rId1"/>
  <headerFooter alignWithMargins="0">
    <oddFooter>&amp;R&amp;7ghe&amp;G 2011</oddFooter>
  </headerFooter>
  <drawing r:id="rId2"/>
  <legacyDrawing r:id="rId3"/>
  <legacyDrawingHF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5" enableFormatConditionsCalculation="0">
    <tabColor indexed="22"/>
    <pageSetUpPr fitToPage="1"/>
  </sheetPr>
  <dimension ref="A1:L29"/>
  <sheetViews>
    <sheetView showGridLines="0" workbookViewId="0">
      <selection activeCell="A100" sqref="A100"/>
    </sheetView>
  </sheetViews>
  <sheetFormatPr baseColWidth="10" defaultColWidth="11.5703125" defaultRowHeight="12.75" x14ac:dyDescent="0.2"/>
  <sheetData>
    <row r="1" spans="1:12" ht="23.25" x14ac:dyDescent="0.35">
      <c r="A1" s="22" t="s">
        <v>66</v>
      </c>
      <c r="B1" s="22"/>
      <c r="C1" s="22"/>
      <c r="H1" s="22" t="s">
        <v>220</v>
      </c>
    </row>
    <row r="3" spans="1:12" ht="12.75" customHeight="1" x14ac:dyDescent="0.2">
      <c r="B3" s="495" t="s">
        <v>218</v>
      </c>
      <c r="C3" s="494"/>
      <c r="D3" s="494"/>
      <c r="E3" s="494"/>
      <c r="F3" s="494"/>
      <c r="G3" s="336"/>
      <c r="H3" s="494" t="s">
        <v>221</v>
      </c>
      <c r="I3" s="442"/>
      <c r="J3" s="442"/>
      <c r="K3" s="442"/>
      <c r="L3" s="442"/>
    </row>
    <row r="4" spans="1:12" x14ac:dyDescent="0.2">
      <c r="B4" s="494"/>
      <c r="C4" s="494"/>
      <c r="D4" s="494"/>
      <c r="E4" s="494"/>
      <c r="F4" s="494"/>
      <c r="G4" s="336"/>
      <c r="H4" s="494" t="s">
        <v>222</v>
      </c>
      <c r="I4" s="442"/>
      <c r="J4" s="442"/>
      <c r="K4" s="442"/>
      <c r="L4" s="442"/>
    </row>
    <row r="5" spans="1:12" ht="12.75" customHeight="1" x14ac:dyDescent="0.2">
      <c r="B5" t="s">
        <v>219</v>
      </c>
      <c r="C5" s="336"/>
      <c r="D5" s="336"/>
      <c r="E5" s="336"/>
      <c r="F5" s="336"/>
      <c r="G5" s="336"/>
      <c r="H5" s="336"/>
      <c r="I5" s="336"/>
    </row>
    <row r="6" spans="1:12" x14ac:dyDescent="0.2">
      <c r="C6" s="66"/>
      <c r="D6" s="66"/>
      <c r="E6" s="66"/>
      <c r="F6" s="66"/>
      <c r="G6" s="66"/>
      <c r="H6" s="66"/>
      <c r="I6" s="66"/>
    </row>
    <row r="7" spans="1:12" x14ac:dyDescent="0.2">
      <c r="B7" s="62" t="s">
        <v>57</v>
      </c>
      <c r="H7" s="421"/>
      <c r="I7" s="421" t="s">
        <v>225</v>
      </c>
    </row>
    <row r="8" spans="1:12" s="62" customFormat="1" x14ac:dyDescent="0.2">
      <c r="C8" s="441" t="s">
        <v>78</v>
      </c>
      <c r="D8" s="441"/>
      <c r="H8" s="62" t="s">
        <v>223</v>
      </c>
      <c r="J8" s="62" t="s">
        <v>224</v>
      </c>
    </row>
    <row r="9" spans="1:12" x14ac:dyDescent="0.2">
      <c r="C9" s="65"/>
    </row>
    <row r="10" spans="1:12" x14ac:dyDescent="0.2">
      <c r="C10" s="441" t="s">
        <v>58</v>
      </c>
      <c r="D10" s="442"/>
      <c r="E10" s="442"/>
      <c r="F10" s="442"/>
      <c r="I10" s="422">
        <v>1.333</v>
      </c>
      <c r="J10" s="420"/>
    </row>
    <row r="11" spans="1:12" x14ac:dyDescent="0.2">
      <c r="C11" s="496"/>
      <c r="D11" s="496"/>
      <c r="E11" s="496"/>
      <c r="F11" s="496"/>
      <c r="G11" s="496"/>
      <c r="H11" s="496"/>
      <c r="I11" s="496"/>
      <c r="J11" s="496"/>
      <c r="K11" s="496"/>
    </row>
    <row r="12" spans="1:12" x14ac:dyDescent="0.2">
      <c r="C12" s="441" t="s">
        <v>59</v>
      </c>
      <c r="D12" s="442"/>
      <c r="H12" s="423">
        <v>1</v>
      </c>
      <c r="J12" s="423">
        <v>1</v>
      </c>
    </row>
    <row r="14" spans="1:12" x14ac:dyDescent="0.2">
      <c r="C14" s="441" t="s">
        <v>60</v>
      </c>
      <c r="D14" s="442"/>
      <c r="E14" s="442"/>
      <c r="H14" s="423">
        <v>0.5</v>
      </c>
      <c r="J14" s="423">
        <v>0.5</v>
      </c>
    </row>
    <row r="15" spans="1:12" x14ac:dyDescent="0.2">
      <c r="C15" s="65"/>
    </row>
    <row r="16" spans="1:12" x14ac:dyDescent="0.2">
      <c r="C16" s="441" t="s">
        <v>61</v>
      </c>
      <c r="D16" s="442"/>
    </row>
    <row r="17" spans="2:6" x14ac:dyDescent="0.2">
      <c r="C17" s="65"/>
    </row>
    <row r="18" spans="2:6" x14ac:dyDescent="0.2">
      <c r="C18" s="441" t="s">
        <v>62</v>
      </c>
      <c r="D18" s="442"/>
      <c r="E18" s="442"/>
      <c r="F18" s="442"/>
    </row>
    <row r="20" spans="2:6" s="62" customFormat="1" x14ac:dyDescent="0.2">
      <c r="B20" s="62" t="s">
        <v>63</v>
      </c>
    </row>
    <row r="21" spans="2:6" s="62" customFormat="1" x14ac:dyDescent="0.2">
      <c r="C21" s="441" t="s">
        <v>64</v>
      </c>
      <c r="D21" s="441"/>
    </row>
    <row r="22" spans="2:6" s="62" customFormat="1" x14ac:dyDescent="0.2">
      <c r="C22" s="64"/>
      <c r="D22" s="64"/>
    </row>
    <row r="23" spans="2:6" x14ac:dyDescent="0.2">
      <c r="C23" s="441" t="s">
        <v>65</v>
      </c>
      <c r="D23" s="442"/>
      <c r="E23" s="442"/>
    </row>
    <row r="25" spans="2:6" x14ac:dyDescent="0.2">
      <c r="C25" s="441" t="s">
        <v>62</v>
      </c>
      <c r="D25" s="442"/>
      <c r="E25" s="442"/>
    </row>
    <row r="28" spans="2:6" x14ac:dyDescent="0.2">
      <c r="B28" s="67" t="s">
        <v>79</v>
      </c>
      <c r="C28" s="67"/>
    </row>
    <row r="29" spans="2:6" x14ac:dyDescent="0.2">
      <c r="B29" s="67" t="s">
        <v>77</v>
      </c>
      <c r="C29" s="67"/>
    </row>
  </sheetData>
  <sheetProtection selectLockedCells="1" selectUnlockedCells="1"/>
  <mergeCells count="13">
    <mergeCell ref="C18:F18"/>
    <mergeCell ref="C25:E25"/>
    <mergeCell ref="C21:D21"/>
    <mergeCell ref="C23:E23"/>
    <mergeCell ref="H3:L3"/>
    <mergeCell ref="H4:L4"/>
    <mergeCell ref="B3:F4"/>
    <mergeCell ref="C16:D16"/>
    <mergeCell ref="C8:D8"/>
    <mergeCell ref="C10:F10"/>
    <mergeCell ref="C12:D12"/>
    <mergeCell ref="C14:E14"/>
    <mergeCell ref="C11:K11"/>
  </mergeCells>
  <phoneticPr fontId="10" type="noConversion"/>
  <pageMargins left="0.74803149606299213" right="0.74803149606299213" top="0.98425196850393704" bottom="0.98425196850393704" header="0.51181102362204722" footer="0.51181102362204722"/>
  <pageSetup paperSize="9" scale="95" orientation="landscape" horizontalDpi="1200" verticalDpi="1200" r:id="rId1"/>
  <headerFooter alignWithMargins="0">
    <oddFooter>&amp;R&amp;7ghe&amp;G 2011</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enableFormatConditionsCalculation="0">
    <tabColor indexed="34"/>
  </sheetPr>
  <dimension ref="A1:AB99"/>
  <sheetViews>
    <sheetView showGridLines="0" zoomScaleNormal="100" workbookViewId="0">
      <pane ySplit="3" topLeftCell="A19" activePane="bottomLeft" state="frozenSplit"/>
      <selection pane="bottomLeft" activeCell="B22" sqref="B22"/>
    </sheetView>
  </sheetViews>
  <sheetFormatPr baseColWidth="10" defaultColWidth="11.5703125" defaultRowHeight="12.75" x14ac:dyDescent="0.2"/>
  <cols>
    <col min="1" max="1" width="3.28515625" customWidth="1"/>
    <col min="2" max="8" width="11.5703125" customWidth="1"/>
    <col min="9" max="9" width="9.5703125" customWidth="1"/>
    <col min="10" max="10" width="8.5703125" customWidth="1"/>
    <col min="19" max="19" width="9.140625" customWidth="1"/>
    <col min="20" max="23" width="11.5703125" customWidth="1"/>
    <col min="24" max="25" width="11.42578125" style="67" customWidth="1"/>
    <col min="26" max="27" width="11.5703125" customWidth="1"/>
    <col min="28" max="28" width="15.28515625" bestFit="1" customWidth="1"/>
  </cols>
  <sheetData>
    <row r="1" spans="2:28" x14ac:dyDescent="0.2">
      <c r="G1" s="92"/>
      <c r="J1" s="92"/>
      <c r="S1" s="92"/>
      <c r="T1" s="92"/>
      <c r="U1" s="147">
        <v>1</v>
      </c>
      <c r="V1" s="147" t="s">
        <v>97</v>
      </c>
      <c r="W1" s="92"/>
      <c r="AB1" s="65"/>
    </row>
    <row r="2" spans="2:28" x14ac:dyDescent="0.2">
      <c r="B2" s="87" t="s">
        <v>132</v>
      </c>
      <c r="C2" s="88"/>
      <c r="D2" s="89"/>
      <c r="E2" s="90"/>
      <c r="F2" s="91" t="s">
        <v>91</v>
      </c>
      <c r="G2" s="92"/>
      <c r="J2" s="92"/>
      <c r="S2" s="92"/>
      <c r="T2" s="92"/>
      <c r="U2" s="147">
        <v>2</v>
      </c>
      <c r="V2" s="147" t="s">
        <v>98</v>
      </c>
      <c r="W2" s="92"/>
      <c r="Z2" s="139"/>
    </row>
    <row r="3" spans="2:28" x14ac:dyDescent="0.2">
      <c r="B3" s="93"/>
      <c r="C3" s="91">
        <f>Info!$E$1</f>
        <v>2014</v>
      </c>
      <c r="D3" s="94">
        <f>C3+1</f>
        <v>2015</v>
      </c>
      <c r="E3" s="95"/>
      <c r="F3" s="86">
        <v>1958</v>
      </c>
      <c r="G3" s="96" t="str">
        <f ca="1">"("&amp;ABS(YEAR(TODAY())-F3)&amp;" år "&amp;IF(YEAR(TODAY())&gt;F3,"siden","til")&amp;")"</f>
        <v>(61 år siden)</v>
      </c>
      <c r="J3" s="92"/>
      <c r="S3" s="92"/>
      <c r="T3" s="92"/>
      <c r="U3" s="147">
        <v>3</v>
      </c>
      <c r="V3" s="147" t="s">
        <v>99</v>
      </c>
      <c r="W3" s="92"/>
      <c r="Z3" s="139"/>
    </row>
    <row r="4" spans="2:28" x14ac:dyDescent="0.2">
      <c r="B4" s="97" t="s">
        <v>51</v>
      </c>
      <c r="C4" s="98">
        <f>DATE(C3,1,1)</f>
        <v>41640</v>
      </c>
      <c r="D4" s="99">
        <f>DATE(D3,1,1)</f>
        <v>42005</v>
      </c>
      <c r="E4" s="100"/>
      <c r="F4" s="101">
        <f>DATE(F3,1,1)</f>
        <v>21186</v>
      </c>
      <c r="G4" s="92"/>
      <c r="J4" s="92"/>
      <c r="S4" s="92"/>
      <c r="T4" s="92"/>
      <c r="U4" s="147">
        <v>4</v>
      </c>
      <c r="V4" s="147" t="s">
        <v>100</v>
      </c>
      <c r="W4" s="92"/>
      <c r="Z4" s="139"/>
    </row>
    <row r="5" spans="2:28" x14ac:dyDescent="0.2">
      <c r="B5" s="102" t="s">
        <v>80</v>
      </c>
      <c r="C5" s="103">
        <f>C7-(7*7)</f>
        <v>41700</v>
      </c>
      <c r="D5" s="104">
        <f>D7-(7*7)</f>
        <v>42050</v>
      </c>
      <c r="E5" s="103"/>
      <c r="F5" s="103">
        <f>F7-(7*7)</f>
        <v>21232</v>
      </c>
      <c r="G5" s="92"/>
      <c r="J5" s="92"/>
      <c r="S5" s="92"/>
      <c r="T5" s="92"/>
      <c r="U5" s="147">
        <v>5</v>
      </c>
      <c r="V5" s="147" t="s">
        <v>101</v>
      </c>
      <c r="W5" s="92"/>
      <c r="Z5" s="139"/>
    </row>
    <row r="6" spans="2:28" x14ac:dyDescent="0.2">
      <c r="B6" s="105" t="s">
        <v>52</v>
      </c>
      <c r="C6" s="106">
        <f>C7-7</f>
        <v>41742</v>
      </c>
      <c r="D6" s="107">
        <f>D7-7</f>
        <v>42092</v>
      </c>
      <c r="E6" s="103"/>
      <c r="F6" s="106">
        <f>F7-7</f>
        <v>21274</v>
      </c>
      <c r="G6" s="92"/>
      <c r="J6" s="92"/>
      <c r="S6" s="92"/>
      <c r="T6" s="92"/>
      <c r="U6" s="147">
        <v>6</v>
      </c>
      <c r="V6" s="147" t="s">
        <v>102</v>
      </c>
      <c r="W6" s="92"/>
      <c r="Z6" s="139"/>
    </row>
    <row r="7" spans="2:28" x14ac:dyDescent="0.2">
      <c r="B7" s="102" t="s">
        <v>20</v>
      </c>
      <c r="C7" s="137">
        <f>DOLLAR((DAY(MINUTE(C3/38)/2+55)&amp;".4."&amp;C3)/7,)*7-6</f>
        <v>41749</v>
      </c>
      <c r="D7" s="103">
        <f>DOLLAR((DAY(MINUTE(D3/38)/2+55)&amp;".4."&amp;D3)/7,)*7-6</f>
        <v>42099</v>
      </c>
      <c r="E7" s="103"/>
      <c r="F7" s="103">
        <f>DOLLAR((DAY(MINUTE(F3/38)/2+55)&amp;".4."&amp;F3)/7,)*7-6</f>
        <v>21281</v>
      </c>
      <c r="G7" s="92"/>
      <c r="J7" s="92"/>
      <c r="S7" s="92"/>
      <c r="T7" s="92"/>
      <c r="U7" s="147">
        <v>7</v>
      </c>
      <c r="V7" s="147" t="s">
        <v>103</v>
      </c>
      <c r="W7" s="92"/>
      <c r="Z7" s="139"/>
    </row>
    <row r="8" spans="2:28" x14ac:dyDescent="0.2">
      <c r="B8" s="108" t="s">
        <v>53</v>
      </c>
      <c r="C8" s="138">
        <f>C7+39</f>
        <v>41788</v>
      </c>
      <c r="D8" s="106">
        <f>D7+39</f>
        <v>42138</v>
      </c>
      <c r="E8" s="103"/>
      <c r="F8" s="106">
        <f>F7+39</f>
        <v>21320</v>
      </c>
      <c r="G8" s="92"/>
      <c r="J8" s="92"/>
      <c r="S8" s="92"/>
      <c r="T8" s="92"/>
      <c r="U8" s="147">
        <v>8</v>
      </c>
      <c r="V8" s="147" t="s">
        <v>104</v>
      </c>
      <c r="W8" s="92"/>
      <c r="Z8" s="139"/>
    </row>
    <row r="9" spans="2:28" x14ac:dyDescent="0.2">
      <c r="B9" s="109" t="s">
        <v>21</v>
      </c>
      <c r="C9" s="137">
        <f>C7+49</f>
        <v>41798</v>
      </c>
      <c r="D9" s="103">
        <f>D7+49</f>
        <v>42148</v>
      </c>
      <c r="E9" s="103"/>
      <c r="F9" s="103">
        <f>F7+49</f>
        <v>21330</v>
      </c>
      <c r="G9" s="92"/>
      <c r="J9" s="92"/>
      <c r="S9" s="92"/>
      <c r="T9" s="92"/>
      <c r="U9" s="147">
        <v>9</v>
      </c>
      <c r="V9" s="147" t="s">
        <v>105</v>
      </c>
      <c r="W9" s="92"/>
      <c r="Z9" s="139"/>
    </row>
    <row r="10" spans="2:28" x14ac:dyDescent="0.2">
      <c r="B10" s="97" t="s">
        <v>85</v>
      </c>
      <c r="C10" s="101">
        <f>DATE(C3,5,1)</f>
        <v>41760</v>
      </c>
      <c r="D10" s="99">
        <f>DATE(D3,5,1)</f>
        <v>42125</v>
      </c>
      <c r="E10" s="100"/>
      <c r="F10" s="101">
        <f>DATE(F3,5,1)</f>
        <v>21306</v>
      </c>
      <c r="G10" s="92"/>
      <c r="J10" s="92"/>
      <c r="S10" s="92"/>
      <c r="T10" s="92"/>
      <c r="U10" s="147">
        <v>10</v>
      </c>
      <c r="V10" s="147" t="s">
        <v>106</v>
      </c>
      <c r="W10" s="92"/>
      <c r="Z10" s="139"/>
    </row>
    <row r="11" spans="2:28" x14ac:dyDescent="0.2">
      <c r="B11" s="110" t="s">
        <v>82</v>
      </c>
      <c r="C11" s="100">
        <f>DATE(C3,5,17)</f>
        <v>41776</v>
      </c>
      <c r="D11" s="111">
        <f>DATE(D3,5,17)</f>
        <v>42141</v>
      </c>
      <c r="E11" s="100"/>
      <c r="F11" s="100">
        <f>DATE(F3,5,17)</f>
        <v>21322</v>
      </c>
      <c r="G11" s="92"/>
      <c r="J11" s="92"/>
      <c r="S11" s="92"/>
      <c r="T11" s="92"/>
      <c r="U11" s="147">
        <v>11</v>
      </c>
      <c r="V11" s="147" t="s">
        <v>107</v>
      </c>
      <c r="W11" s="92"/>
      <c r="Z11" s="139"/>
    </row>
    <row r="12" spans="2:28" x14ac:dyDescent="0.2">
      <c r="B12" s="112" t="s">
        <v>83</v>
      </c>
      <c r="C12" s="101">
        <f>DATE(C3,6,23)</f>
        <v>41813</v>
      </c>
      <c r="D12" s="99">
        <f>DATE(D3,6,23)</f>
        <v>42178</v>
      </c>
      <c r="E12" s="100"/>
      <c r="F12" s="101">
        <f>DATE(F3,6,23)</f>
        <v>21359</v>
      </c>
      <c r="G12" s="92"/>
      <c r="J12" s="92"/>
      <c r="S12" s="92"/>
      <c r="T12" s="92"/>
      <c r="U12" s="147">
        <v>12</v>
      </c>
      <c r="V12" s="147" t="s">
        <v>108</v>
      </c>
      <c r="W12" s="92"/>
      <c r="Z12" s="139"/>
    </row>
    <row r="13" spans="2:28" x14ac:dyDescent="0.2">
      <c r="B13" s="113" t="s">
        <v>81</v>
      </c>
      <c r="C13" s="114">
        <f>DATE(C3,12,24)</f>
        <v>41997</v>
      </c>
      <c r="D13" s="115">
        <f>DATE(D3,12,24)</f>
        <v>42362</v>
      </c>
      <c r="E13" s="100"/>
      <c r="F13" s="114">
        <f>DATE(F3,12,24)</f>
        <v>21543</v>
      </c>
      <c r="G13" s="92"/>
      <c r="J13" s="92"/>
      <c r="S13" s="92"/>
      <c r="T13" s="92"/>
      <c r="U13" s="147">
        <v>13</v>
      </c>
      <c r="V13" s="147" t="s">
        <v>109</v>
      </c>
      <c r="W13" s="92"/>
      <c r="Z13" s="139"/>
    </row>
    <row r="14" spans="2:28" x14ac:dyDescent="0.2">
      <c r="B14" s="116" t="s">
        <v>88</v>
      </c>
      <c r="C14" s="117" t="str">
        <f>IF(MOD(C3,4)=0,"Ja","Nei")</f>
        <v>Nei</v>
      </c>
      <c r="D14" s="118" t="str">
        <f>IF(MOD(D3,4)=0,"Ja","Nei")</f>
        <v>Nei</v>
      </c>
      <c r="E14" s="119"/>
      <c r="F14" s="117" t="str">
        <f>IF(MOD(F3,4)=0,IF(AND(MOD(F3,100)=0,MOD(F3,400)&gt;0),"Nei","Ja"),"Nei")</f>
        <v>Nei</v>
      </c>
      <c r="G14" s="92"/>
      <c r="J14" s="92"/>
      <c r="S14" s="92"/>
      <c r="T14" s="92"/>
      <c r="U14" s="147">
        <v>14</v>
      </c>
      <c r="V14" s="147" t="s">
        <v>110</v>
      </c>
      <c r="W14" s="92"/>
      <c r="Z14" s="139"/>
    </row>
    <row r="15" spans="2:28" x14ac:dyDescent="0.2">
      <c r="B15" s="120" t="s">
        <v>89</v>
      </c>
      <c r="C15" s="121" t="str">
        <f>IF(WEEKDAY(DATE(C3,12,31),2)=4,"53","52")</f>
        <v>52</v>
      </c>
      <c r="D15" s="122" t="str">
        <f>IF(WEEKDAY(DATE(D3,12,31),2)=4,"53","52")</f>
        <v>53</v>
      </c>
      <c r="E15" s="119"/>
      <c r="F15" s="121" t="str">
        <f>IF(WEEKDAY(DATE(F3,12,31),2)=4,"53","52")</f>
        <v>52</v>
      </c>
      <c r="G15" s="92"/>
      <c r="J15" s="92"/>
      <c r="S15" s="92"/>
      <c r="T15" s="92"/>
      <c r="U15" s="147">
        <v>15</v>
      </c>
      <c r="V15" s="147" t="s">
        <v>111</v>
      </c>
      <c r="W15" s="92"/>
      <c r="Z15" s="139"/>
    </row>
    <row r="16" spans="2:28" x14ac:dyDescent="0.2">
      <c r="B16" s="167"/>
      <c r="C16" s="123"/>
      <c r="D16" s="123"/>
      <c r="E16" s="124"/>
      <c r="F16" s="96"/>
      <c r="G16" s="166"/>
      <c r="H16" s="71"/>
      <c r="J16" s="92"/>
      <c r="S16" s="92"/>
      <c r="T16" s="92"/>
      <c r="U16" s="147">
        <v>16</v>
      </c>
      <c r="V16" s="147" t="s">
        <v>119</v>
      </c>
      <c r="W16" s="92"/>
      <c r="Z16" s="139"/>
    </row>
    <row r="17" spans="1:26" x14ac:dyDescent="0.2">
      <c r="B17" s="159" t="s">
        <v>131</v>
      </c>
      <c r="G17" s="448" t="s">
        <v>120</v>
      </c>
      <c r="H17" s="449"/>
      <c r="J17" s="92"/>
      <c r="S17" s="92"/>
      <c r="T17" s="92"/>
      <c r="U17" s="147">
        <v>17</v>
      </c>
      <c r="V17" s="147" t="s">
        <v>119</v>
      </c>
      <c r="W17" s="92"/>
      <c r="Z17" s="139"/>
    </row>
    <row r="18" spans="1:26" x14ac:dyDescent="0.2">
      <c r="B18" s="160" t="s">
        <v>95</v>
      </c>
      <c r="C18" s="161" t="str">
        <f>C3-YEAR(Info!$C$6)&amp;" år"</f>
        <v>114 år</v>
      </c>
      <c r="D18" s="162" t="str">
        <f>D3-YEAR(Info!$C$6)&amp;" år"</f>
        <v>115 år</v>
      </c>
      <c r="E18" s="125"/>
      <c r="F18" s="161" t="str">
        <f>F3-YEAR(Info!$C$6)&amp;" år"</f>
        <v>58 år</v>
      </c>
      <c r="G18" s="144">
        <f>DATE($C$3,MONTH($C19),DAY($C19))</f>
        <v>42004</v>
      </c>
      <c r="H18" s="72" t="str">
        <f>" · Fødselsdag "&amp;C3-YEAR(B19)</f>
        <v xml:space="preserve"> · Fødselsdag 114</v>
      </c>
      <c r="J18" s="92"/>
      <c r="S18" s="92"/>
      <c r="T18" s="92"/>
      <c r="U18" s="147">
        <v>18</v>
      </c>
      <c r="V18" s="147" t="s">
        <v>119</v>
      </c>
      <c r="W18" s="92"/>
      <c r="Z18" s="139"/>
    </row>
    <row r="19" spans="1:26" x14ac:dyDescent="0.2">
      <c r="A19" s="92"/>
      <c r="B19" s="170">
        <f>Info!C6</f>
        <v>0</v>
      </c>
      <c r="C19" s="114">
        <f>DATE(C3,MONTH(Info!$C$6),DAY(Info!$C$6))</f>
        <v>41639</v>
      </c>
      <c r="D19" s="114">
        <f>DATE(D3,MONTH(Info!$C$6),DAY(Info!$C$6))</f>
        <v>42004</v>
      </c>
      <c r="E19" s="100"/>
      <c r="F19" s="114">
        <f>DATE(F3,MONTH(Info!$C$6),DAY(Info!$C$6))</f>
        <v>21185</v>
      </c>
      <c r="G19" s="92"/>
      <c r="I19" s="92"/>
      <c r="J19" s="92"/>
      <c r="S19" s="92"/>
      <c r="T19" s="92"/>
      <c r="U19" s="147">
        <v>19</v>
      </c>
      <c r="V19" s="147" t="s">
        <v>119</v>
      </c>
      <c r="W19" s="92"/>
      <c r="Z19" s="139"/>
    </row>
    <row r="20" spans="1:26" ht="5.25" customHeight="1" x14ac:dyDescent="0.2">
      <c r="A20" s="92"/>
      <c r="B20" s="135"/>
      <c r="C20" s="92"/>
      <c r="D20" s="92"/>
      <c r="E20" s="92"/>
      <c r="F20" s="92"/>
      <c r="G20" s="92"/>
      <c r="H20" s="92"/>
      <c r="J20" s="92"/>
      <c r="S20" s="92"/>
      <c r="T20" s="92"/>
      <c r="U20" s="147">
        <v>20</v>
      </c>
      <c r="V20" s="147" t="s">
        <v>112</v>
      </c>
      <c r="W20" s="92"/>
      <c r="Z20" s="139"/>
    </row>
    <row r="21" spans="1:26" x14ac:dyDescent="0.2">
      <c r="A21" s="92"/>
      <c r="B21" s="163" t="s">
        <v>96</v>
      </c>
      <c r="C21" s="161" t="str">
        <f>IF($B22="","",C3-YEAR($B22)&amp;" år")</f>
        <v/>
      </c>
      <c r="D21" s="161" t="str">
        <f>IF($B22="","",D3-YEAR($B22)&amp;" år")</f>
        <v/>
      </c>
      <c r="E21" s="92"/>
      <c r="F21" s="161" t="str">
        <f>IF($B22="","",F3-YEAR($B22)&amp;" år")</f>
        <v/>
      </c>
      <c r="G21" s="144">
        <f>IF($B22="",2,DATE($C$3,MONTH($B22),DAY($B22)))</f>
        <v>2</v>
      </c>
      <c r="H21" s="136" t="str">
        <f>IF($B22="",""," · "&amp;B21&amp;" "&amp;IF(OR(C23=" ",FALSE),C3-YEAR($B22),C23))</f>
        <v/>
      </c>
      <c r="J21" s="92"/>
      <c r="S21" s="92"/>
      <c r="T21" s="92"/>
      <c r="U21" s="147">
        <v>21</v>
      </c>
      <c r="V21" s="147" t="s">
        <v>119</v>
      </c>
      <c r="W21" s="92"/>
      <c r="Z21" s="139"/>
    </row>
    <row r="22" spans="1:26" x14ac:dyDescent="0.2">
      <c r="A22" s="92"/>
      <c r="B22" s="168"/>
      <c r="C22" s="114" t="str">
        <f>IF($B22="","",DATE(C3,MONTH($B22),DAY($B22)))</f>
        <v/>
      </c>
      <c r="D22" s="114" t="str">
        <f>IF($B22="","",DATE(D3,MONTH($B22),DAY($B22)))</f>
        <v/>
      </c>
      <c r="E22" s="92"/>
      <c r="F22" s="114" t="str">
        <f>IF($B22="","",DATE(F3,MONTH($B22),DAY($B22)))</f>
        <v/>
      </c>
      <c r="G22" s="146"/>
      <c r="H22" s="141">
        <v>36161</v>
      </c>
      <c r="J22" s="92"/>
      <c r="S22" s="92"/>
      <c r="T22" s="92"/>
      <c r="U22" s="147">
        <v>22</v>
      </c>
      <c r="V22" s="147" t="s">
        <v>119</v>
      </c>
      <c r="W22" s="92"/>
      <c r="Z22" s="139"/>
    </row>
    <row r="23" spans="1:26" x14ac:dyDescent="0.2">
      <c r="A23" s="92"/>
      <c r="B23" s="135"/>
      <c r="C23" s="133" t="str">
        <f>IF(OR($B22="",$C$3-YEAR($B22)&gt;60),"",VLOOKUP($C$3-YEAR($B22),U1:V61,2,))</f>
        <v/>
      </c>
      <c r="D23" s="133" t="str">
        <f>IF(OR($B22="",$D$3-YEAR($B22)&gt;60),"",VLOOKUP($D$3-YEAR($B22),U1:V61,2,))</f>
        <v/>
      </c>
      <c r="E23" s="92"/>
      <c r="F23" s="133" t="str">
        <f>IF(OR($B22="",$F$3-YEAR($B22)&lt;1),"",VLOOKUP($F$3-YEAR($B22),U1:V61,2,))</f>
        <v/>
      </c>
      <c r="G23" s="92"/>
      <c r="H23" s="92"/>
      <c r="J23" s="92"/>
      <c r="S23" s="92"/>
      <c r="T23" s="92"/>
      <c r="U23" s="147">
        <v>23</v>
      </c>
      <c r="V23" s="147" t="s">
        <v>119</v>
      </c>
      <c r="W23" s="92"/>
      <c r="Z23" s="139"/>
    </row>
    <row r="24" spans="1:26" x14ac:dyDescent="0.2">
      <c r="A24" s="92"/>
      <c r="B24" s="164"/>
      <c r="C24" s="161" t="str">
        <f>IF($B$25="","",C3-YEAR($B$25)&amp;" år")</f>
        <v/>
      </c>
      <c r="D24" s="161" t="str">
        <f>IF($B$25="","",D3-YEAR($B$25)&amp;" år")</f>
        <v/>
      </c>
      <c r="E24" s="92"/>
      <c r="F24" s="161" t="str">
        <f>IF($B$25="","",F3-YEAR($B$25)&amp;" år")</f>
        <v/>
      </c>
      <c r="G24" s="144">
        <f>IF($B$25="",3,DATE($C$3,MONTH(B25),DAY(B25)))</f>
        <v>3</v>
      </c>
      <c r="H24" s="136" t="str">
        <f>IF($B25="",""," · "&amp;B24&amp;IF($C$3&gt;YEAR($B25)," "&amp;$C$3-YEAR($B25),""))</f>
        <v/>
      </c>
      <c r="J24" s="92"/>
      <c r="S24" s="92"/>
      <c r="T24" s="92"/>
      <c r="U24" s="147">
        <v>24</v>
      </c>
      <c r="V24" s="147" t="s">
        <v>119</v>
      </c>
      <c r="W24" s="92"/>
      <c r="Z24" s="139"/>
    </row>
    <row r="25" spans="1:26" x14ac:dyDescent="0.2">
      <c r="A25" s="92"/>
      <c r="B25" s="168"/>
      <c r="C25" s="114" t="str">
        <f>IF($B$25="","",DATE(C3,MONTH($B$25),DAY($B$25)))</f>
        <v/>
      </c>
      <c r="D25" s="114" t="str">
        <f>IF($B$25="","",DATE(D3,MONTH($B$25),DAY($B$25)))</f>
        <v/>
      </c>
      <c r="E25" s="92"/>
      <c r="F25" s="114" t="str">
        <f>IF($B$25="","",DATE(F3,MONTH($B$25),DAY($B$25)))</f>
        <v/>
      </c>
      <c r="G25" s="145"/>
      <c r="H25" s="92" t="s">
        <v>119</v>
      </c>
      <c r="J25" s="92"/>
      <c r="S25" s="92"/>
      <c r="T25" s="92"/>
      <c r="U25" s="147">
        <v>25</v>
      </c>
      <c r="V25" s="147" t="s">
        <v>113</v>
      </c>
      <c r="W25" s="92"/>
      <c r="Z25" s="139"/>
    </row>
    <row r="26" spans="1:26" ht="6" customHeight="1" x14ac:dyDescent="0.2">
      <c r="A26" s="92"/>
      <c r="B26" s="134"/>
      <c r="C26" s="92"/>
      <c r="D26" s="92"/>
      <c r="E26" s="92"/>
      <c r="F26" s="92"/>
      <c r="G26" s="145"/>
      <c r="H26" s="92" t="s">
        <v>119</v>
      </c>
      <c r="J26" s="92"/>
      <c r="S26" s="92"/>
      <c r="T26" s="92"/>
      <c r="U26" s="147">
        <v>26</v>
      </c>
      <c r="V26" s="147" t="s">
        <v>119</v>
      </c>
      <c r="W26" s="92"/>
      <c r="Z26" s="139"/>
    </row>
    <row r="27" spans="1:26" x14ac:dyDescent="0.2">
      <c r="A27" s="92"/>
      <c r="B27" s="164"/>
      <c r="C27" s="161" t="str">
        <f>IF($B$28="","",C3-YEAR($B$28)&amp;" år")</f>
        <v/>
      </c>
      <c r="D27" s="161" t="str">
        <f>IF($B$28="","",D3-YEAR($B$28)&amp;" år")</f>
        <v/>
      </c>
      <c r="E27" s="92"/>
      <c r="F27" s="161" t="str">
        <f>IF($B$28="","",F3-YEAR($B$28)&amp;" år")</f>
        <v/>
      </c>
      <c r="G27" s="144">
        <f>IF($B$28="",4,DATE($C$3,MONTH(B28),DAY(B28)))</f>
        <v>4</v>
      </c>
      <c r="H27" s="136" t="str">
        <f>IF($B28="",""," · "&amp;B27&amp;IF($C$3&gt;YEAR($B28)," "&amp;$C$3-YEAR($B28),""))</f>
        <v/>
      </c>
      <c r="J27" s="92"/>
      <c r="S27" s="92"/>
      <c r="T27" s="92"/>
      <c r="U27" s="147">
        <v>27</v>
      </c>
      <c r="V27" s="147" t="s">
        <v>119</v>
      </c>
      <c r="W27" s="92"/>
      <c r="Z27" s="139"/>
    </row>
    <row r="28" spans="1:26" x14ac:dyDescent="0.2">
      <c r="A28" s="92"/>
      <c r="B28" s="168"/>
      <c r="C28" s="114" t="str">
        <f>IF($B$28="","",DATE(C3,MONTH($B$28),DAY($B$28)))</f>
        <v/>
      </c>
      <c r="D28" s="114" t="str">
        <f>IF($B$28="","",DATE(D3,MONTH($B$28),DAY($B$28)))</f>
        <v/>
      </c>
      <c r="E28" s="92"/>
      <c r="F28" s="114" t="str">
        <f>IF($B$28="","",DATE(F3,MONTH($B$28),DAY($B$28)))</f>
        <v/>
      </c>
      <c r="G28" s="145"/>
      <c r="H28" s="92" t="s">
        <v>119</v>
      </c>
      <c r="J28" s="92"/>
      <c r="S28" s="92"/>
      <c r="T28" s="92"/>
      <c r="U28" s="147">
        <v>28</v>
      </c>
      <c r="V28" s="147" t="s">
        <v>119</v>
      </c>
      <c r="W28" s="92"/>
      <c r="Z28" s="139"/>
    </row>
    <row r="29" spans="1:26" ht="6" customHeight="1" x14ac:dyDescent="0.2">
      <c r="A29" s="92"/>
      <c r="B29" s="134"/>
      <c r="C29" s="92"/>
      <c r="D29" s="92"/>
      <c r="E29" s="92"/>
      <c r="F29" s="92"/>
      <c r="G29" s="145"/>
      <c r="H29" s="92" t="s">
        <v>119</v>
      </c>
      <c r="J29" s="92"/>
      <c r="S29" s="92"/>
      <c r="T29" s="92"/>
      <c r="U29" s="147">
        <v>29</v>
      </c>
      <c r="V29" s="147" t="s">
        <v>119</v>
      </c>
      <c r="W29" s="92"/>
      <c r="Z29" s="139"/>
    </row>
    <row r="30" spans="1:26" x14ac:dyDescent="0.2">
      <c r="A30" s="92"/>
      <c r="B30" s="164"/>
      <c r="C30" s="161" t="str">
        <f>IF($B31="","",$C$3-YEAR($B31)&amp;" år")</f>
        <v/>
      </c>
      <c r="D30" s="161" t="str">
        <f>IF($B31="","",$D$3-YEAR($B31)&amp;" år")</f>
        <v/>
      </c>
      <c r="E30" s="92"/>
      <c r="F30" s="161" t="str">
        <f>IF($B31="","",$F$3-YEAR($B31)&amp;" år")</f>
        <v/>
      </c>
      <c r="G30" s="144">
        <f>IF($B31="",5,DATE($C$3,MONTH($B31),DAY($B31)))</f>
        <v>5</v>
      </c>
      <c r="H30" s="136" t="str">
        <f>IF($B31="",""," · "&amp;B30&amp;IF($C$3&gt;YEAR($B31)," "&amp;$C$3-YEAR($B31),""))</f>
        <v/>
      </c>
      <c r="J30" s="92"/>
      <c r="S30" s="92"/>
      <c r="T30" s="92"/>
      <c r="U30" s="147">
        <v>30</v>
      </c>
      <c r="V30" s="147" t="s">
        <v>114</v>
      </c>
      <c r="W30" s="92"/>
      <c r="Z30" s="139"/>
    </row>
    <row r="31" spans="1:26" x14ac:dyDescent="0.2">
      <c r="A31" s="92"/>
      <c r="B31" s="168"/>
      <c r="C31" s="114" t="str">
        <f>IF($B31="","",DATE($C$3,MONTH($B31),DAY($B31)))</f>
        <v/>
      </c>
      <c r="D31" s="114" t="str">
        <f>IF($B31="","",DATE($D$3,MONTH($B31),DAY($B31)))</f>
        <v/>
      </c>
      <c r="E31" s="92"/>
      <c r="F31" s="114" t="str">
        <f>IF($B31="","",DATE($F$3,MONTH($B31),DAY($B31)))</f>
        <v/>
      </c>
      <c r="G31" s="145"/>
      <c r="H31" s="92" t="s">
        <v>119</v>
      </c>
      <c r="J31" s="92"/>
      <c r="S31" s="92"/>
      <c r="T31" s="92"/>
      <c r="U31" s="147">
        <v>31</v>
      </c>
      <c r="V31" s="147" t="s">
        <v>119</v>
      </c>
      <c r="W31" s="92"/>
      <c r="Z31" s="139"/>
    </row>
    <row r="32" spans="1:26" ht="6" customHeight="1" x14ac:dyDescent="0.2">
      <c r="A32" s="92"/>
      <c r="B32" s="134"/>
      <c r="C32" s="92"/>
      <c r="D32" s="92"/>
      <c r="E32" s="92"/>
      <c r="F32" s="92"/>
      <c r="G32" s="145"/>
      <c r="H32" s="92" t="s">
        <v>119</v>
      </c>
      <c r="J32" s="92"/>
      <c r="S32" s="92"/>
      <c r="T32" s="92"/>
      <c r="U32" s="147">
        <v>32</v>
      </c>
      <c r="V32" s="147" t="s">
        <v>119</v>
      </c>
      <c r="W32" s="92"/>
      <c r="Z32" s="139"/>
    </row>
    <row r="33" spans="1:26" x14ac:dyDescent="0.2">
      <c r="A33" s="92"/>
      <c r="B33" s="164"/>
      <c r="C33" s="161" t="str">
        <f>IF($B34="","",$C$3-YEAR($B34)&amp;" år")</f>
        <v/>
      </c>
      <c r="D33" s="161" t="str">
        <f>IF($B34="","",$D$3-YEAR($B34)&amp;" år")</f>
        <v/>
      </c>
      <c r="E33" s="92"/>
      <c r="F33" s="161" t="str">
        <f>IF($B34="","",$F$3-YEAR($B34)&amp;" år")</f>
        <v/>
      </c>
      <c r="G33" s="144">
        <f>IF($B34="",6,DATE($C$3,MONTH($B34),DAY($B34)))</f>
        <v>6</v>
      </c>
      <c r="H33" s="136" t="str">
        <f>IF($B34="",""," · "&amp;B33&amp;IF($C$3&gt;YEAR($B34)," "&amp;$C$3-YEAR($B34),""))</f>
        <v/>
      </c>
      <c r="J33" s="92"/>
      <c r="S33" s="92"/>
      <c r="T33" s="92"/>
      <c r="U33" s="147">
        <v>33</v>
      </c>
      <c r="V33" s="147" t="s">
        <v>119</v>
      </c>
      <c r="W33" s="92"/>
      <c r="Z33" s="139"/>
    </row>
    <row r="34" spans="1:26" x14ac:dyDescent="0.2">
      <c r="A34" s="92"/>
      <c r="B34" s="168"/>
      <c r="C34" s="114" t="str">
        <f>IF($B34="","",DATE($C$3,MONTH($B34),DAY($B34)))</f>
        <v/>
      </c>
      <c r="D34" s="114" t="str">
        <f>IF($B34="","",DATE($D$3,MONTH($B34),DAY($B34)))</f>
        <v/>
      </c>
      <c r="E34" s="92"/>
      <c r="F34" s="114" t="str">
        <f>IF($B34="","",DATE($F$3,MONTH($B34),DAY($B34)))</f>
        <v/>
      </c>
      <c r="G34" s="145"/>
      <c r="H34" s="92" t="s">
        <v>119</v>
      </c>
      <c r="I34" s="136" t="s">
        <v>119</v>
      </c>
      <c r="J34" s="92"/>
      <c r="S34" s="92"/>
      <c r="T34" s="92"/>
      <c r="U34" s="147">
        <v>34</v>
      </c>
      <c r="V34" s="147" t="s">
        <v>119</v>
      </c>
      <c r="W34" s="92"/>
      <c r="Z34" s="139"/>
    </row>
    <row r="35" spans="1:26" ht="6" customHeight="1" x14ac:dyDescent="0.2">
      <c r="A35" s="92"/>
      <c r="B35" s="134"/>
      <c r="C35" s="92"/>
      <c r="D35" s="92"/>
      <c r="E35" s="92"/>
      <c r="F35" s="92"/>
      <c r="G35" s="145"/>
      <c r="H35" s="92" t="s">
        <v>119</v>
      </c>
      <c r="I35" s="92"/>
      <c r="J35" s="92"/>
      <c r="S35" s="92"/>
      <c r="T35" s="92"/>
      <c r="U35" s="147">
        <v>35</v>
      </c>
      <c r="V35" s="147" t="s">
        <v>115</v>
      </c>
      <c r="W35" s="92"/>
      <c r="Z35" s="139"/>
    </row>
    <row r="36" spans="1:26" x14ac:dyDescent="0.2">
      <c r="A36" s="92"/>
      <c r="B36" s="164"/>
      <c r="C36" s="161" t="str">
        <f>IF($B37="","",$C$3-YEAR($B37)&amp;" år")</f>
        <v/>
      </c>
      <c r="D36" s="161" t="str">
        <f>IF($B37="","",$D$3-YEAR($B37)&amp;" år")</f>
        <v/>
      </c>
      <c r="E36" s="92"/>
      <c r="F36" s="161" t="str">
        <f>IF($B37="","",$F$3-YEAR($B37)&amp;" år")</f>
        <v/>
      </c>
      <c r="G36" s="144">
        <f>IF($B37="",7,DATE($C$3,MONTH($B37),DAY($B37)))</f>
        <v>7</v>
      </c>
      <c r="H36" s="136" t="str">
        <f>IF($B37="",""," · "&amp;B36&amp;IF($C$3&gt;YEAR($B37)," "&amp;$C$3-YEAR($B37),""))</f>
        <v/>
      </c>
      <c r="I36" s="92"/>
      <c r="J36" s="92"/>
      <c r="S36" s="92"/>
      <c r="T36" s="92"/>
      <c r="U36" s="147">
        <v>36</v>
      </c>
      <c r="V36" s="147" t="s">
        <v>119</v>
      </c>
      <c r="W36" s="92"/>
      <c r="Z36" s="139"/>
    </row>
    <row r="37" spans="1:26" x14ac:dyDescent="0.2">
      <c r="A37" s="92"/>
      <c r="B37" s="168"/>
      <c r="C37" s="114" t="str">
        <f>IF($B37="","",DATE($C$3,MONTH($B37),DAY($B37)))</f>
        <v/>
      </c>
      <c r="D37" s="114" t="str">
        <f>IF($B37="","",DATE($D$3,MONTH($B37),DAY($B37)))</f>
        <v/>
      </c>
      <c r="E37" s="92"/>
      <c r="F37" s="165" t="str">
        <f>IF($B37="","",DATE($F$3,MONTH($B37),DAY($B37)))</f>
        <v/>
      </c>
      <c r="G37" s="145"/>
      <c r="H37" s="92" t="s">
        <v>119</v>
      </c>
      <c r="I37" s="92"/>
      <c r="J37" s="92"/>
      <c r="S37" s="92"/>
      <c r="T37" s="92"/>
      <c r="U37" s="147">
        <v>37</v>
      </c>
      <c r="V37" s="147" t="s">
        <v>119</v>
      </c>
      <c r="W37" s="92"/>
      <c r="Z37" s="139"/>
    </row>
    <row r="38" spans="1:26" ht="6" customHeight="1" x14ac:dyDescent="0.2">
      <c r="A38" s="92"/>
      <c r="B38" s="134"/>
      <c r="C38" s="92"/>
      <c r="D38" s="92"/>
      <c r="E38" s="92"/>
      <c r="F38" s="92"/>
      <c r="G38" s="145"/>
      <c r="H38" s="92" t="s">
        <v>119</v>
      </c>
      <c r="I38" s="92"/>
      <c r="J38" s="92"/>
      <c r="S38" s="92"/>
      <c r="T38" s="92"/>
      <c r="U38" s="147">
        <v>38</v>
      </c>
      <c r="V38" s="147" t="s">
        <v>119</v>
      </c>
      <c r="W38" s="92"/>
      <c r="Z38" s="139"/>
    </row>
    <row r="39" spans="1:26" x14ac:dyDescent="0.2">
      <c r="A39" s="92"/>
      <c r="B39" s="164"/>
      <c r="C39" s="161" t="str">
        <f>IF($B40="","",$C$3-YEAR($B40)&amp;" år")</f>
        <v/>
      </c>
      <c r="D39" s="161" t="str">
        <f>IF($B40="","",$D$3-YEAR($B40)&amp;" år")</f>
        <v/>
      </c>
      <c r="E39" s="92"/>
      <c r="F39" s="161" t="str">
        <f>IF($B40="","",$F$3-YEAR($B40)&amp;" år")</f>
        <v/>
      </c>
      <c r="G39" s="144">
        <f>IF($B40="",8,DATE($C$3,MONTH($B40),DAY($B40)))</f>
        <v>8</v>
      </c>
      <c r="H39" s="136" t="str">
        <f>IF($B40="",""," · "&amp;B39&amp;IF($C$3&gt;YEAR($B40)," "&amp;$C$3-YEAR($B40),""))</f>
        <v/>
      </c>
      <c r="I39" s="92"/>
      <c r="J39" s="92"/>
      <c r="S39" s="92"/>
      <c r="T39" s="92"/>
      <c r="U39" s="147">
        <v>39</v>
      </c>
      <c r="V39" s="147" t="s">
        <v>119</v>
      </c>
      <c r="W39" s="92"/>
      <c r="Z39" s="139"/>
    </row>
    <row r="40" spans="1:26" x14ac:dyDescent="0.2">
      <c r="A40" s="92"/>
      <c r="B40" s="168"/>
      <c r="C40" s="114" t="str">
        <f>IF($B40="","",DATE($C$3,MONTH($B40),DAY($B40)))</f>
        <v/>
      </c>
      <c r="D40" s="114" t="str">
        <f>IF($B40="","",DATE($D$3,MONTH($B40),DAY($B40)))</f>
        <v/>
      </c>
      <c r="E40" s="92"/>
      <c r="F40" s="114" t="str">
        <f>IF($B40="","",DATE($F$3,MONTH($B40),DAY($B40)))</f>
        <v/>
      </c>
      <c r="G40" s="145"/>
      <c r="H40" s="92" t="s">
        <v>119</v>
      </c>
      <c r="I40" s="92"/>
      <c r="J40" s="92"/>
      <c r="S40" s="92"/>
      <c r="T40" s="92"/>
      <c r="U40" s="147">
        <v>40</v>
      </c>
      <c r="V40" s="147" t="s">
        <v>116</v>
      </c>
      <c r="W40" s="92"/>
      <c r="Z40" s="139"/>
    </row>
    <row r="41" spans="1:26" ht="6" customHeight="1" x14ac:dyDescent="0.2">
      <c r="A41" s="92"/>
      <c r="B41" s="134"/>
      <c r="C41" s="92"/>
      <c r="D41" s="92"/>
      <c r="E41" s="92"/>
      <c r="F41" s="92"/>
      <c r="G41" s="145"/>
      <c r="H41" s="92" t="s">
        <v>119</v>
      </c>
      <c r="I41" s="92"/>
      <c r="J41" s="92"/>
      <c r="S41" s="92"/>
      <c r="T41" s="92"/>
      <c r="U41" s="147">
        <v>41</v>
      </c>
      <c r="V41" s="147" t="s">
        <v>119</v>
      </c>
      <c r="W41" s="92"/>
      <c r="Z41" s="139"/>
    </row>
    <row r="42" spans="1:26" x14ac:dyDescent="0.2">
      <c r="A42" s="92"/>
      <c r="B42" s="164"/>
      <c r="C42" s="161" t="str">
        <f>IF($B43="","",$C$3-YEAR($B43)&amp;" år")</f>
        <v/>
      </c>
      <c r="D42" s="161" t="str">
        <f>IF($B43="","",$D$3-YEAR($B43)&amp;" år")</f>
        <v/>
      </c>
      <c r="E42" s="92"/>
      <c r="F42" s="161" t="str">
        <f>IF($B43="","",$F$3-YEAR($B43)&amp;" år")</f>
        <v/>
      </c>
      <c r="G42" s="144">
        <f>IF($B43="",9,DATE($C$3,MONTH($B43),DAY($B43)))</f>
        <v>9</v>
      </c>
      <c r="H42" s="136" t="str">
        <f>IF($B43="",""," · "&amp;B42&amp;IF($C$3&gt;YEAR($B43)," "&amp;$C$3-YEAR($B43),""))</f>
        <v/>
      </c>
      <c r="I42" s="92"/>
      <c r="J42" s="92"/>
      <c r="S42" s="92"/>
      <c r="T42" s="92"/>
      <c r="U42" s="147">
        <v>42</v>
      </c>
      <c r="V42" s="147" t="s">
        <v>119</v>
      </c>
      <c r="W42" s="92"/>
      <c r="Z42" s="139"/>
    </row>
    <row r="43" spans="1:26" x14ac:dyDescent="0.2">
      <c r="A43" s="92"/>
      <c r="B43" s="168"/>
      <c r="C43" s="114" t="str">
        <f>IF($B43="","",DATE($C$3,MONTH($B43),DAY($B43)))</f>
        <v/>
      </c>
      <c r="D43" s="114" t="str">
        <f>IF($B43="","",DATE($D$3,MONTH($B43),DAY($B43)))</f>
        <v/>
      </c>
      <c r="E43" s="92"/>
      <c r="F43" s="114" t="str">
        <f>IF($B43="","",DATE($F$3,MONTH($B43),DAY($B43)))</f>
        <v/>
      </c>
      <c r="G43" s="145"/>
      <c r="H43" s="92" t="s">
        <v>119</v>
      </c>
      <c r="I43" s="92"/>
      <c r="J43" s="92"/>
      <c r="S43" s="92"/>
      <c r="T43" s="92"/>
      <c r="U43" s="147">
        <v>43</v>
      </c>
      <c r="V43" s="147" t="s">
        <v>119</v>
      </c>
      <c r="W43" s="92"/>
      <c r="Z43" s="139"/>
    </row>
    <row r="44" spans="1:26" ht="6" customHeight="1" x14ac:dyDescent="0.2">
      <c r="A44" s="92"/>
      <c r="B44" s="134"/>
      <c r="C44" s="92"/>
      <c r="D44" s="92"/>
      <c r="E44" s="92"/>
      <c r="F44" s="92"/>
      <c r="G44" s="145"/>
      <c r="H44" s="92" t="s">
        <v>119</v>
      </c>
      <c r="I44" s="92"/>
      <c r="J44" s="92"/>
      <c r="S44" s="92"/>
      <c r="T44" s="92"/>
      <c r="U44" s="147">
        <v>44</v>
      </c>
      <c r="V44" s="147" t="s">
        <v>119</v>
      </c>
      <c r="W44" s="92"/>
      <c r="Z44" s="139"/>
    </row>
    <row r="45" spans="1:26" x14ac:dyDescent="0.2">
      <c r="A45" s="92"/>
      <c r="B45" s="164"/>
      <c r="C45" s="161" t="str">
        <f>IF($B46="","",$C$3-YEAR($B46)&amp;" år")</f>
        <v/>
      </c>
      <c r="D45" s="161" t="str">
        <f>IF($B46="","",$D$3-YEAR($B46)&amp;" år")</f>
        <v/>
      </c>
      <c r="E45" s="92"/>
      <c r="F45" s="161" t="str">
        <f>IF($B46="","",$F$3-YEAR($B46)&amp;" år")</f>
        <v/>
      </c>
      <c r="G45" s="144">
        <f>IF($B46="",10,DATE($C$3,MONTH($B46),DAY($B46)))</f>
        <v>10</v>
      </c>
      <c r="H45" s="136" t="str">
        <f>IF($B46="",""," · "&amp;B45&amp;IF($C$3&gt;YEAR($B46)," "&amp;$C$3-YEAR($B46),""))</f>
        <v/>
      </c>
      <c r="I45" s="92"/>
      <c r="J45" s="92"/>
      <c r="S45" s="92"/>
      <c r="T45" s="92"/>
      <c r="U45" s="147">
        <v>45</v>
      </c>
      <c r="V45" s="147" t="s">
        <v>117</v>
      </c>
      <c r="W45" s="92"/>
      <c r="Z45" s="139"/>
    </row>
    <row r="46" spans="1:26" x14ac:dyDescent="0.2">
      <c r="A46" s="92"/>
      <c r="B46" s="168"/>
      <c r="C46" s="114" t="str">
        <f>IF($B46="","",DATE($C$3,MONTH($B46),DAY($B46)))</f>
        <v/>
      </c>
      <c r="D46" s="114" t="str">
        <f>IF($B46="","",DATE($D$3,MONTH($B46),DAY($B46)))</f>
        <v/>
      </c>
      <c r="E46" s="92"/>
      <c r="F46" s="114" t="str">
        <f>IF($B46="","",DATE($F$3,MONTH($B46),DAY($B46)))</f>
        <v/>
      </c>
      <c r="G46" s="145"/>
      <c r="H46" s="92" t="s">
        <v>119</v>
      </c>
      <c r="I46" s="92"/>
      <c r="J46" s="92"/>
      <c r="S46" s="92"/>
      <c r="T46" s="92"/>
      <c r="U46" s="147">
        <v>46</v>
      </c>
      <c r="V46" s="147" t="s">
        <v>119</v>
      </c>
      <c r="W46" s="92"/>
      <c r="Z46" s="139"/>
    </row>
    <row r="47" spans="1:26" ht="6" customHeight="1" x14ac:dyDescent="0.2">
      <c r="A47" s="92"/>
      <c r="B47" s="134"/>
      <c r="C47" s="92"/>
      <c r="D47" s="92"/>
      <c r="E47" s="92"/>
      <c r="F47" s="92"/>
      <c r="G47" s="145"/>
      <c r="H47" s="92" t="s">
        <v>119</v>
      </c>
      <c r="I47" s="92"/>
      <c r="J47" s="92"/>
      <c r="S47" s="92"/>
      <c r="T47" s="92"/>
      <c r="U47" s="147">
        <v>47</v>
      </c>
      <c r="V47" s="147" t="s">
        <v>119</v>
      </c>
      <c r="W47" s="92"/>
      <c r="Z47" s="139"/>
    </row>
    <row r="48" spans="1:26" x14ac:dyDescent="0.2">
      <c r="A48" s="92"/>
      <c r="B48" s="164"/>
      <c r="C48" s="161" t="str">
        <f>IF($B49="","",$C$3-YEAR($B49)&amp;" år")</f>
        <v/>
      </c>
      <c r="D48" s="161" t="str">
        <f>IF($B49="","",$D$3-YEAR($B49)&amp;" år")</f>
        <v/>
      </c>
      <c r="E48" s="92"/>
      <c r="F48" s="161" t="str">
        <f>IF($B49="","",$F$3-YEAR($B49)&amp;" år")</f>
        <v/>
      </c>
      <c r="G48" s="144">
        <f>IF($B49="",11,DATE($C$3,MONTH($B49),DAY($B49)))</f>
        <v>11</v>
      </c>
      <c r="H48" s="136" t="str">
        <f>IF($B49="",""," · "&amp;B48&amp;IF($C$3&gt;YEAR($B49)," "&amp;$C$3-YEAR($B49),""))</f>
        <v/>
      </c>
      <c r="I48" s="92"/>
      <c r="J48" s="92"/>
      <c r="S48" s="92"/>
      <c r="T48" s="92"/>
      <c r="U48" s="147">
        <v>48</v>
      </c>
      <c r="V48" s="147" t="s">
        <v>119</v>
      </c>
      <c r="W48" s="92"/>
      <c r="Z48" s="139"/>
    </row>
    <row r="49" spans="1:26" x14ac:dyDescent="0.2">
      <c r="A49" s="92"/>
      <c r="B49" s="169"/>
      <c r="C49" s="165" t="str">
        <f>IF($B49="","",DATE($C$3,MONTH($B49),DAY($B49)))</f>
        <v/>
      </c>
      <c r="D49" s="165" t="str">
        <f>IF($B49="","",DATE($D$3,MONTH($B49),DAY($B49)))</f>
        <v/>
      </c>
      <c r="E49" s="92"/>
      <c r="F49" s="114" t="str">
        <f>IF($B49="","",DATE($F$3,MONTH($B49),DAY($B49)))</f>
        <v/>
      </c>
      <c r="G49" s="145"/>
      <c r="J49" s="92"/>
      <c r="S49" s="92"/>
      <c r="T49" s="92"/>
      <c r="U49" s="147">
        <v>49</v>
      </c>
      <c r="V49" s="147" t="s">
        <v>119</v>
      </c>
      <c r="W49" s="92"/>
      <c r="Z49" s="139"/>
    </row>
    <row r="50" spans="1:26" s="253" customFormat="1" ht="17.25" customHeight="1" x14ac:dyDescent="0.2">
      <c r="A50" s="250"/>
      <c r="B50" s="254"/>
      <c r="C50" s="250"/>
      <c r="D50" s="250"/>
      <c r="E50" s="250"/>
      <c r="F50" s="250"/>
      <c r="G50" s="255"/>
      <c r="J50" s="250"/>
      <c r="S50" s="250"/>
      <c r="T50" s="250"/>
      <c r="U50" s="251">
        <v>50</v>
      </c>
      <c r="V50" s="251" t="s">
        <v>118</v>
      </c>
      <c r="W50" s="250"/>
      <c r="X50" s="256"/>
      <c r="Y50" s="256"/>
      <c r="Z50" s="257"/>
    </row>
    <row r="51" spans="1:26" ht="12.75" customHeight="1" x14ac:dyDescent="0.2">
      <c r="A51" s="92"/>
      <c r="B51" s="92"/>
      <c r="C51" s="92"/>
      <c r="D51" s="92"/>
      <c r="E51" s="92"/>
      <c r="F51" s="92"/>
      <c r="G51" s="92"/>
      <c r="J51" s="92"/>
      <c r="S51" s="92"/>
      <c r="T51" s="92"/>
      <c r="U51" s="147">
        <v>51</v>
      </c>
      <c r="V51" s="147" t="s">
        <v>119</v>
      </c>
      <c r="W51" s="92"/>
      <c r="Z51" s="92"/>
    </row>
    <row r="52" spans="1:26" x14ac:dyDescent="0.2">
      <c r="A52" s="92"/>
      <c r="B52" s="92"/>
      <c r="C52" s="92"/>
      <c r="D52" s="92"/>
      <c r="E52" s="92"/>
      <c r="F52" s="92"/>
      <c r="G52" s="92"/>
      <c r="J52" s="92"/>
      <c r="S52" s="92"/>
      <c r="T52" s="92"/>
      <c r="U52" s="147">
        <v>52</v>
      </c>
      <c r="V52" s="147" t="s">
        <v>119</v>
      </c>
      <c r="W52" s="92"/>
      <c r="X52" s="140"/>
      <c r="Y52" s="140"/>
      <c r="Z52" s="92"/>
    </row>
    <row r="53" spans="1:26" x14ac:dyDescent="0.2">
      <c r="A53" s="92"/>
      <c r="B53" s="92"/>
      <c r="C53" s="92"/>
      <c r="D53" s="92"/>
      <c r="E53" s="92"/>
      <c r="F53" s="92"/>
      <c r="G53" s="92"/>
      <c r="J53" s="92"/>
      <c r="S53" s="92"/>
      <c r="T53" s="92"/>
      <c r="U53" s="147">
        <v>53</v>
      </c>
      <c r="V53" s="147" t="s">
        <v>119</v>
      </c>
      <c r="W53" s="92"/>
      <c r="X53" s="140"/>
      <c r="Y53" s="140"/>
      <c r="Z53" s="92"/>
    </row>
    <row r="54" spans="1:26" x14ac:dyDescent="0.2">
      <c r="A54" s="92"/>
      <c r="B54" s="92"/>
      <c r="C54" s="92"/>
      <c r="D54" s="92"/>
      <c r="E54" s="92"/>
      <c r="F54" s="92"/>
      <c r="G54" s="92"/>
      <c r="J54" s="92"/>
      <c r="S54" s="92"/>
      <c r="T54" s="92"/>
      <c r="U54" s="147">
        <v>54</v>
      </c>
      <c r="V54" s="147" t="s">
        <v>119</v>
      </c>
      <c r="W54" s="92"/>
      <c r="X54" s="140"/>
      <c r="Y54" s="140"/>
      <c r="Z54" s="92"/>
    </row>
    <row r="55" spans="1:26" x14ac:dyDescent="0.2">
      <c r="A55" s="92"/>
      <c r="B55" s="92"/>
      <c r="C55" s="92"/>
      <c r="D55" s="92"/>
      <c r="E55" s="92"/>
      <c r="F55" s="92"/>
      <c r="G55" s="92"/>
      <c r="J55" s="92"/>
      <c r="S55" s="92"/>
      <c r="T55" s="92"/>
      <c r="U55" s="147">
        <v>55</v>
      </c>
      <c r="V55" s="158" t="s">
        <v>129</v>
      </c>
      <c r="W55" s="92"/>
      <c r="X55" s="140"/>
      <c r="Y55" s="140"/>
      <c r="Z55" s="92"/>
    </row>
    <row r="56" spans="1:26" x14ac:dyDescent="0.2">
      <c r="A56" s="92"/>
      <c r="B56" s="92"/>
      <c r="C56" s="92"/>
      <c r="D56" s="92"/>
      <c r="E56" s="92"/>
      <c r="F56" s="92"/>
      <c r="G56" s="92"/>
      <c r="J56" s="92"/>
      <c r="S56" s="92"/>
      <c r="T56" s="92"/>
      <c r="U56" s="147">
        <v>56</v>
      </c>
      <c r="V56" s="147" t="s">
        <v>119</v>
      </c>
      <c r="W56" s="92"/>
      <c r="X56" s="140"/>
      <c r="Y56" s="140"/>
      <c r="Z56" s="92"/>
    </row>
    <row r="57" spans="1:26" s="253" customFormat="1" ht="12.75" customHeight="1" x14ac:dyDescent="0.2">
      <c r="A57" s="250"/>
      <c r="B57" s="250"/>
      <c r="C57" s="250"/>
      <c r="D57" s="250"/>
      <c r="E57" s="250"/>
      <c r="F57" s="250"/>
      <c r="G57" s="250"/>
      <c r="J57" s="250"/>
      <c r="S57" s="250"/>
      <c r="T57" s="250"/>
      <c r="U57" s="251">
        <v>57</v>
      </c>
      <c r="V57" s="251" t="s">
        <v>119</v>
      </c>
      <c r="W57" s="250"/>
      <c r="X57" s="252"/>
      <c r="Y57" s="252"/>
      <c r="Z57" s="250"/>
    </row>
    <row r="58" spans="1:26" x14ac:dyDescent="0.2">
      <c r="A58" s="92"/>
      <c r="B58" s="92"/>
      <c r="C58" s="92"/>
      <c r="D58" s="92"/>
      <c r="E58" s="92"/>
      <c r="F58" s="92"/>
      <c r="G58" s="92"/>
      <c r="J58" s="92"/>
      <c r="S58" s="92"/>
      <c r="T58" s="92"/>
      <c r="U58" s="147">
        <v>58</v>
      </c>
      <c r="V58" s="147" t="s">
        <v>119</v>
      </c>
      <c r="W58" s="92"/>
      <c r="X58" s="140"/>
      <c r="Y58" s="140"/>
      <c r="Z58" s="92"/>
    </row>
    <row r="59" spans="1:26" x14ac:dyDescent="0.2">
      <c r="A59" s="92"/>
      <c r="B59" s="92"/>
      <c r="C59" s="92"/>
      <c r="D59" s="92"/>
      <c r="E59" s="92"/>
      <c r="F59" s="92"/>
      <c r="G59" s="92"/>
      <c r="J59" s="92"/>
      <c r="S59" s="92"/>
      <c r="T59" s="92"/>
      <c r="U59" s="147">
        <v>59</v>
      </c>
      <c r="V59" s="147" t="s">
        <v>119</v>
      </c>
      <c r="W59" s="92"/>
      <c r="X59" s="140"/>
      <c r="Y59" s="140"/>
      <c r="Z59" s="92"/>
    </row>
    <row r="60" spans="1:26" s="253" customFormat="1" x14ac:dyDescent="0.2">
      <c r="A60" s="250"/>
      <c r="B60" s="250"/>
      <c r="C60" s="250"/>
      <c r="D60" s="250"/>
      <c r="E60" s="250"/>
      <c r="F60" s="250"/>
      <c r="G60" s="250"/>
      <c r="J60" s="250"/>
      <c r="S60" s="250"/>
      <c r="T60" s="250"/>
      <c r="U60" s="251">
        <v>60</v>
      </c>
      <c r="V60" s="268" t="s">
        <v>130</v>
      </c>
      <c r="W60" s="250"/>
      <c r="X60" s="252"/>
      <c r="Y60" s="252"/>
      <c r="Z60" s="250"/>
    </row>
    <row r="61" spans="1:26" x14ac:dyDescent="0.2">
      <c r="A61" s="92"/>
      <c r="B61" s="92"/>
      <c r="C61" s="92"/>
      <c r="D61" s="92"/>
      <c r="E61" s="92"/>
      <c r="F61" s="92"/>
      <c r="G61" s="92"/>
      <c r="H61" s="92"/>
      <c r="I61" s="92"/>
      <c r="J61" s="92"/>
      <c r="S61" s="92"/>
      <c r="T61" s="92"/>
      <c r="U61" s="147">
        <v>999</v>
      </c>
      <c r="V61" s="92" t="s">
        <v>119</v>
      </c>
      <c r="W61" s="92"/>
      <c r="X61" s="140"/>
      <c r="Y61" s="140"/>
      <c r="Z61" s="92"/>
    </row>
    <row r="62" spans="1:26" x14ac:dyDescent="0.2">
      <c r="A62" s="92"/>
      <c r="B62" s="92"/>
      <c r="C62" s="92"/>
      <c r="D62" s="92"/>
      <c r="E62" s="92"/>
      <c r="F62" s="92"/>
      <c r="G62" s="92"/>
      <c r="H62" s="92"/>
      <c r="I62" s="92"/>
      <c r="J62" s="92"/>
      <c r="S62" s="92"/>
      <c r="T62" s="92"/>
      <c r="U62" s="92"/>
      <c r="V62" s="92"/>
      <c r="W62" s="92"/>
      <c r="X62" s="140"/>
      <c r="Y62" s="140"/>
      <c r="Z62" s="92"/>
    </row>
    <row r="63" spans="1:26" x14ac:dyDescent="0.2">
      <c r="A63" s="92"/>
      <c r="B63" s="92"/>
      <c r="C63" s="92"/>
      <c r="D63" s="92"/>
      <c r="E63" s="92"/>
      <c r="F63" s="92"/>
      <c r="G63" s="92"/>
      <c r="H63" s="92"/>
      <c r="I63" s="92"/>
      <c r="J63" s="92"/>
      <c r="S63" s="92"/>
      <c r="T63" s="92"/>
      <c r="U63" s="92"/>
      <c r="V63" s="92"/>
      <c r="W63" s="92"/>
      <c r="X63" s="140"/>
      <c r="Y63" s="140"/>
      <c r="Z63" s="92"/>
    </row>
    <row r="64" spans="1:26" x14ac:dyDescent="0.2">
      <c r="A64" s="92"/>
      <c r="B64" s="92"/>
      <c r="C64" s="92"/>
      <c r="D64" s="92"/>
      <c r="E64" s="92"/>
      <c r="F64" s="92"/>
      <c r="G64" s="92"/>
      <c r="H64" s="92"/>
      <c r="I64" s="92"/>
      <c r="J64" s="92"/>
      <c r="S64" s="92"/>
      <c r="T64" s="92"/>
      <c r="U64" s="92"/>
      <c r="V64" s="92"/>
      <c r="W64" s="92"/>
      <c r="X64" s="140"/>
      <c r="Y64" s="140"/>
      <c r="Z64" s="92"/>
    </row>
    <row r="65" spans="1:26" x14ac:dyDescent="0.2">
      <c r="A65" s="92"/>
      <c r="B65" s="92"/>
      <c r="C65" s="92"/>
      <c r="D65" s="92"/>
      <c r="E65" s="92"/>
      <c r="F65" s="92"/>
      <c r="G65" s="92"/>
      <c r="H65" s="92"/>
      <c r="I65" s="92"/>
      <c r="J65" s="92"/>
      <c r="S65" s="92"/>
      <c r="T65" s="92"/>
      <c r="U65" s="92"/>
      <c r="V65" s="92"/>
      <c r="W65" s="92"/>
      <c r="X65" s="140"/>
      <c r="Y65" s="140"/>
      <c r="Z65" s="92"/>
    </row>
    <row r="66" spans="1:26" x14ac:dyDescent="0.2">
      <c r="A66" s="92"/>
      <c r="B66" s="92"/>
      <c r="C66" s="92"/>
      <c r="D66" s="92"/>
      <c r="E66" s="92"/>
      <c r="F66" s="92"/>
      <c r="G66" s="92"/>
      <c r="H66" s="92"/>
      <c r="I66" s="92"/>
      <c r="J66" s="92"/>
      <c r="S66" s="92"/>
      <c r="T66" s="92"/>
      <c r="U66" s="92"/>
      <c r="V66" s="92"/>
      <c r="W66" s="92"/>
      <c r="X66" s="140"/>
      <c r="Y66" s="140"/>
      <c r="Z66" s="92"/>
    </row>
    <row r="67" spans="1:26" x14ac:dyDescent="0.2">
      <c r="A67" s="92"/>
      <c r="B67" s="92"/>
      <c r="C67" s="92"/>
      <c r="D67" s="92"/>
      <c r="E67" s="92"/>
      <c r="F67" s="92"/>
      <c r="G67" s="92"/>
      <c r="H67" s="92"/>
      <c r="I67" s="92"/>
      <c r="J67" s="92"/>
      <c r="S67" s="92"/>
      <c r="T67" s="92"/>
      <c r="U67" s="92"/>
      <c r="V67" s="92"/>
      <c r="W67" s="92"/>
      <c r="X67" s="140"/>
      <c r="Y67" s="140"/>
      <c r="Z67" s="92"/>
    </row>
    <row r="68" spans="1:26" x14ac:dyDescent="0.2">
      <c r="A68" s="92"/>
      <c r="B68" s="92"/>
      <c r="C68" s="92"/>
      <c r="D68" s="92"/>
      <c r="E68" s="92"/>
      <c r="F68" s="92"/>
      <c r="G68" s="92"/>
      <c r="H68" s="92"/>
      <c r="I68" s="92"/>
      <c r="J68" s="92"/>
      <c r="S68" s="92"/>
      <c r="T68" s="92"/>
      <c r="U68" s="92"/>
      <c r="V68" s="92"/>
      <c r="W68" s="92"/>
      <c r="X68" s="140"/>
      <c r="Y68" s="140"/>
      <c r="Z68" s="92"/>
    </row>
    <row r="69" spans="1:26" x14ac:dyDescent="0.2">
      <c r="A69" s="92"/>
      <c r="B69" s="92"/>
      <c r="C69" s="92"/>
      <c r="D69" s="92"/>
      <c r="E69" s="92"/>
      <c r="F69" s="92"/>
      <c r="G69" s="92"/>
      <c r="H69" s="92"/>
      <c r="I69" s="92"/>
      <c r="J69" s="92"/>
      <c r="S69" s="92"/>
      <c r="T69" s="92"/>
      <c r="U69" s="92"/>
      <c r="V69" s="92"/>
      <c r="W69" s="92"/>
      <c r="X69" s="140"/>
      <c r="Y69" s="140"/>
      <c r="Z69" s="92"/>
    </row>
    <row r="70" spans="1:26" x14ac:dyDescent="0.2">
      <c r="A70" s="92"/>
      <c r="B70" s="92"/>
      <c r="C70" s="92"/>
      <c r="D70" s="92"/>
      <c r="E70" s="92"/>
      <c r="F70" s="92"/>
      <c r="G70" s="92"/>
      <c r="H70" s="92"/>
      <c r="I70" s="92"/>
      <c r="J70" s="92"/>
      <c r="S70" s="92"/>
      <c r="T70" s="92"/>
      <c r="U70" s="92"/>
      <c r="V70" s="92"/>
      <c r="W70" s="92"/>
      <c r="X70" s="140"/>
      <c r="Y70" s="140"/>
      <c r="Z70" s="92"/>
    </row>
    <row r="71" spans="1:26" x14ac:dyDescent="0.2">
      <c r="A71" s="92"/>
      <c r="B71" s="92"/>
      <c r="C71" s="92"/>
      <c r="D71" s="92"/>
      <c r="E71" s="92"/>
      <c r="F71" s="92"/>
      <c r="G71" s="92"/>
      <c r="H71" s="92"/>
      <c r="I71" s="92"/>
      <c r="J71" s="92"/>
      <c r="S71" s="92"/>
      <c r="T71" s="92"/>
      <c r="U71" s="92"/>
      <c r="V71" s="92"/>
      <c r="W71" s="92"/>
      <c r="X71" s="140"/>
      <c r="Y71" s="140"/>
      <c r="Z71" s="92"/>
    </row>
    <row r="72" spans="1:26" x14ac:dyDescent="0.2">
      <c r="A72" s="92"/>
      <c r="B72" s="92"/>
      <c r="C72" s="92"/>
      <c r="D72" s="92"/>
      <c r="E72" s="92"/>
      <c r="F72" s="92"/>
      <c r="G72" s="92"/>
      <c r="H72" s="92"/>
      <c r="I72" s="92"/>
      <c r="J72" s="92"/>
      <c r="S72" s="92"/>
      <c r="T72" s="92"/>
      <c r="U72" s="92"/>
      <c r="V72" s="92"/>
      <c r="W72" s="92"/>
      <c r="X72" s="140"/>
      <c r="Y72" s="140"/>
      <c r="Z72" s="92"/>
    </row>
    <row r="73" spans="1:26" x14ac:dyDescent="0.2">
      <c r="A73" s="92"/>
      <c r="B73" s="92"/>
      <c r="C73" s="92"/>
      <c r="D73" s="92"/>
      <c r="E73" s="92"/>
      <c r="F73" s="92"/>
      <c r="G73" s="92"/>
      <c r="H73" s="92"/>
      <c r="I73" s="92"/>
      <c r="J73" s="92"/>
      <c r="S73" s="92"/>
      <c r="T73" s="92"/>
      <c r="U73" s="92"/>
      <c r="V73" s="92"/>
      <c r="W73" s="92"/>
      <c r="X73" s="140"/>
      <c r="Y73" s="140"/>
      <c r="Z73" s="92"/>
    </row>
    <row r="74" spans="1:26" x14ac:dyDescent="0.2">
      <c r="A74" s="92"/>
      <c r="B74" s="92"/>
      <c r="C74" s="92"/>
      <c r="D74" s="92"/>
      <c r="E74" s="92"/>
      <c r="F74" s="92"/>
      <c r="G74" s="92"/>
      <c r="H74" s="92"/>
      <c r="I74" s="92"/>
      <c r="J74" s="92"/>
      <c r="S74" s="92"/>
      <c r="T74" s="92"/>
      <c r="U74" s="92"/>
      <c r="V74" s="92"/>
      <c r="W74" s="92"/>
      <c r="X74" s="140"/>
      <c r="Y74" s="140"/>
      <c r="Z74" s="92"/>
    </row>
    <row r="75" spans="1:26" x14ac:dyDescent="0.2">
      <c r="A75" s="92"/>
      <c r="B75" s="92"/>
      <c r="C75" s="92"/>
      <c r="D75" s="92"/>
      <c r="E75" s="92"/>
      <c r="F75" s="92"/>
      <c r="G75" s="92"/>
      <c r="H75" s="92"/>
      <c r="I75" s="92"/>
      <c r="J75" s="92"/>
      <c r="S75" s="92"/>
      <c r="T75" s="92"/>
      <c r="U75" s="92"/>
      <c r="V75" s="92"/>
      <c r="W75" s="92"/>
      <c r="X75" s="140"/>
      <c r="Y75" s="140"/>
      <c r="Z75" s="92"/>
    </row>
    <row r="76" spans="1:26" x14ac:dyDescent="0.2">
      <c r="A76" s="92"/>
      <c r="B76" s="92"/>
      <c r="C76" s="92"/>
      <c r="D76" s="92"/>
      <c r="E76" s="92"/>
      <c r="F76" s="92"/>
      <c r="G76" s="92"/>
      <c r="H76" s="92"/>
      <c r="I76" s="92"/>
      <c r="J76" s="92"/>
      <c r="S76" s="92"/>
      <c r="T76" s="92"/>
      <c r="U76" s="92"/>
      <c r="V76" s="92"/>
      <c r="W76" s="92"/>
      <c r="X76" s="140"/>
      <c r="Y76" s="140"/>
      <c r="Z76" s="92"/>
    </row>
    <row r="77" spans="1:26" x14ac:dyDescent="0.2">
      <c r="A77" s="92"/>
      <c r="B77" s="92"/>
      <c r="C77" s="92"/>
      <c r="D77" s="92"/>
      <c r="E77" s="92"/>
      <c r="F77" s="92"/>
      <c r="G77" s="92"/>
      <c r="H77" s="92"/>
      <c r="I77" s="92"/>
      <c r="J77" s="92"/>
      <c r="S77" s="92"/>
      <c r="T77" s="92"/>
      <c r="U77" s="92"/>
      <c r="V77" s="92"/>
      <c r="W77" s="92"/>
      <c r="X77" s="140"/>
      <c r="Y77" s="140"/>
      <c r="Z77" s="92"/>
    </row>
    <row r="78" spans="1:26" x14ac:dyDescent="0.2">
      <c r="A78" s="92"/>
      <c r="B78" s="92"/>
      <c r="C78" s="92"/>
      <c r="D78" s="92"/>
      <c r="E78" s="92"/>
      <c r="F78" s="92"/>
      <c r="G78" s="92"/>
      <c r="H78" s="92"/>
      <c r="I78" s="92"/>
      <c r="J78" s="92"/>
      <c r="S78" s="92"/>
      <c r="T78" s="92"/>
      <c r="U78" s="92"/>
      <c r="V78" s="92"/>
      <c r="W78" s="92"/>
      <c r="X78" s="140"/>
      <c r="Y78" s="140"/>
      <c r="Z78" s="92"/>
    </row>
    <row r="79" spans="1:26" x14ac:dyDescent="0.2">
      <c r="A79" s="92"/>
      <c r="B79" s="92"/>
      <c r="C79" s="92"/>
      <c r="D79" s="92"/>
      <c r="E79" s="92"/>
      <c r="F79" s="92"/>
      <c r="G79" s="92"/>
      <c r="H79" s="92"/>
      <c r="I79" s="92"/>
      <c r="J79" s="92"/>
      <c r="S79" s="92"/>
      <c r="T79" s="92"/>
      <c r="U79" s="92"/>
      <c r="V79" s="92"/>
      <c r="W79" s="92"/>
      <c r="X79" s="140"/>
      <c r="Y79" s="140"/>
      <c r="Z79" s="92"/>
    </row>
    <row r="80" spans="1:26" x14ac:dyDescent="0.2">
      <c r="A80" s="92"/>
      <c r="B80" s="92"/>
      <c r="C80" s="92"/>
      <c r="D80" s="92"/>
      <c r="E80" s="92"/>
      <c r="F80" s="92"/>
      <c r="G80" s="92"/>
      <c r="H80" s="92"/>
      <c r="I80" s="92"/>
      <c r="J80" s="92"/>
      <c r="S80" s="92"/>
      <c r="T80" s="92"/>
      <c r="U80" s="92"/>
      <c r="V80" s="92"/>
      <c r="W80" s="92"/>
      <c r="X80" s="140"/>
      <c r="Y80" s="140"/>
      <c r="Z80" s="92"/>
    </row>
    <row r="81" spans="1:26" x14ac:dyDescent="0.2">
      <c r="A81" s="92"/>
      <c r="B81" s="92"/>
      <c r="C81" s="92"/>
      <c r="D81" s="92"/>
      <c r="E81" s="92"/>
      <c r="F81" s="92"/>
      <c r="G81" s="92"/>
      <c r="H81" s="92"/>
      <c r="I81" s="92"/>
      <c r="J81" s="92"/>
      <c r="S81" s="92"/>
      <c r="T81" s="92"/>
      <c r="U81" s="92"/>
      <c r="V81" s="92"/>
      <c r="W81" s="92"/>
      <c r="X81" s="140"/>
      <c r="Y81" s="140"/>
      <c r="Z81" s="92"/>
    </row>
    <row r="82" spans="1:26" x14ac:dyDescent="0.2">
      <c r="A82" s="92"/>
      <c r="B82" s="92"/>
      <c r="C82" s="92"/>
      <c r="D82" s="92"/>
      <c r="E82" s="92"/>
      <c r="F82" s="92"/>
      <c r="G82" s="92"/>
      <c r="H82" s="92"/>
      <c r="I82" s="92"/>
      <c r="J82" s="92"/>
      <c r="S82" s="92"/>
      <c r="T82" s="92"/>
      <c r="U82" s="92"/>
      <c r="V82" s="92"/>
      <c r="W82" s="92"/>
      <c r="X82" s="140"/>
      <c r="Y82" s="140"/>
      <c r="Z82" s="92"/>
    </row>
    <row r="83" spans="1:26" x14ac:dyDescent="0.2">
      <c r="A83" s="92"/>
      <c r="B83" s="92"/>
      <c r="C83" s="92"/>
      <c r="D83" s="92"/>
      <c r="E83" s="92"/>
      <c r="F83" s="92"/>
      <c r="G83" s="92"/>
      <c r="H83" s="92"/>
      <c r="I83" s="92"/>
      <c r="J83" s="92"/>
      <c r="S83" s="92"/>
      <c r="T83" s="92"/>
      <c r="U83" s="92"/>
      <c r="V83" s="92"/>
      <c r="W83" s="92"/>
      <c r="X83" s="140"/>
      <c r="Y83" s="140"/>
      <c r="Z83" s="92"/>
    </row>
    <row r="84" spans="1:26" x14ac:dyDescent="0.2">
      <c r="A84" s="92"/>
      <c r="B84" s="92"/>
      <c r="C84" s="92"/>
      <c r="D84" s="92"/>
      <c r="E84" s="92"/>
      <c r="F84" s="92"/>
      <c r="G84" s="92"/>
      <c r="H84" s="92"/>
      <c r="I84" s="92"/>
      <c r="J84" s="92"/>
      <c r="S84" s="92"/>
      <c r="T84" s="92"/>
      <c r="U84" s="92"/>
      <c r="V84" s="92"/>
      <c r="W84" s="92"/>
      <c r="X84" s="140"/>
      <c r="Y84" s="140"/>
      <c r="Z84" s="92"/>
    </row>
    <row r="85" spans="1:26" x14ac:dyDescent="0.2">
      <c r="A85" s="92"/>
      <c r="B85" s="92"/>
      <c r="C85" s="92"/>
      <c r="D85" s="92"/>
      <c r="E85" s="92"/>
      <c r="F85" s="92"/>
      <c r="G85" s="92"/>
      <c r="H85" s="92"/>
      <c r="I85" s="92"/>
      <c r="J85" s="92"/>
      <c r="S85" s="92"/>
      <c r="T85" s="92"/>
      <c r="U85" s="92"/>
      <c r="V85" s="92"/>
      <c r="W85" s="92"/>
      <c r="X85" s="140"/>
      <c r="Y85" s="140"/>
      <c r="Z85" s="92"/>
    </row>
    <row r="86" spans="1:26" x14ac:dyDescent="0.2">
      <c r="A86" s="92"/>
      <c r="B86" s="92"/>
      <c r="C86" s="92"/>
      <c r="D86" s="92"/>
      <c r="E86" s="92"/>
      <c r="F86" s="92"/>
      <c r="G86" s="92"/>
      <c r="H86" s="92"/>
      <c r="I86" s="92"/>
      <c r="J86" s="92"/>
      <c r="S86" s="92"/>
      <c r="T86" s="92"/>
      <c r="U86" s="92"/>
      <c r="V86" s="92"/>
      <c r="W86" s="92"/>
      <c r="X86" s="140"/>
      <c r="Y86" s="140"/>
      <c r="Z86" s="92"/>
    </row>
    <row r="87" spans="1:26" x14ac:dyDescent="0.2">
      <c r="A87" s="92"/>
      <c r="B87" s="92"/>
      <c r="C87" s="92"/>
      <c r="D87" s="92"/>
      <c r="E87" s="92"/>
      <c r="F87" s="92"/>
      <c r="G87" s="92"/>
      <c r="H87" s="92"/>
      <c r="I87" s="92"/>
      <c r="J87" s="92"/>
      <c r="S87" s="92"/>
      <c r="T87" s="92"/>
      <c r="U87" s="92"/>
      <c r="V87" s="92"/>
      <c r="W87" s="92"/>
      <c r="X87" s="140"/>
      <c r="Y87" s="140"/>
      <c r="Z87" s="92"/>
    </row>
    <row r="88" spans="1:26" x14ac:dyDescent="0.2">
      <c r="A88" s="92"/>
      <c r="B88" s="92"/>
      <c r="C88" s="92"/>
      <c r="D88" s="92"/>
      <c r="E88" s="92"/>
      <c r="F88" s="92"/>
      <c r="G88" s="92"/>
      <c r="H88" s="92"/>
      <c r="I88" s="92"/>
      <c r="J88" s="92"/>
      <c r="S88" s="92"/>
      <c r="T88" s="92"/>
      <c r="U88" s="92"/>
      <c r="V88" s="92"/>
      <c r="W88" s="92"/>
      <c r="X88" s="140"/>
      <c r="Y88" s="140"/>
      <c r="Z88" s="92"/>
    </row>
    <row r="89" spans="1:26" x14ac:dyDescent="0.2">
      <c r="A89" s="92"/>
      <c r="B89" s="92"/>
      <c r="C89" s="92"/>
      <c r="D89" s="92"/>
      <c r="E89" s="92"/>
      <c r="F89" s="92"/>
      <c r="G89" s="92"/>
      <c r="H89" s="92"/>
      <c r="I89" s="92"/>
      <c r="J89" s="92"/>
      <c r="S89" s="92"/>
      <c r="T89" s="92"/>
      <c r="U89" s="92"/>
      <c r="V89" s="92"/>
      <c r="W89" s="92"/>
      <c r="X89" s="140"/>
      <c r="Y89" s="140"/>
      <c r="Z89" s="92"/>
    </row>
    <row r="90" spans="1:26" x14ac:dyDescent="0.2">
      <c r="A90" s="92"/>
      <c r="B90" s="92"/>
      <c r="C90" s="92"/>
      <c r="D90" s="92"/>
      <c r="E90" s="92"/>
      <c r="F90" s="92"/>
      <c r="G90" s="92"/>
      <c r="H90" s="92"/>
      <c r="I90" s="92"/>
      <c r="J90" s="92"/>
      <c r="S90" s="92"/>
      <c r="T90" s="92"/>
      <c r="U90" s="92"/>
      <c r="V90" s="92"/>
      <c r="W90" s="92"/>
      <c r="X90" s="140"/>
      <c r="Y90" s="140"/>
      <c r="Z90" s="92"/>
    </row>
    <row r="91" spans="1:26" x14ac:dyDescent="0.2">
      <c r="A91" s="92"/>
      <c r="B91" s="92"/>
      <c r="C91" s="92"/>
      <c r="D91" s="92"/>
      <c r="E91" s="92"/>
      <c r="F91" s="92"/>
      <c r="G91" s="92"/>
      <c r="H91" s="92"/>
      <c r="I91" s="92"/>
      <c r="J91" s="92"/>
      <c r="S91" s="92"/>
      <c r="T91" s="92"/>
      <c r="U91" s="92"/>
      <c r="V91" s="92"/>
      <c r="W91" s="92"/>
      <c r="X91" s="140"/>
      <c r="Y91" s="140"/>
      <c r="Z91" s="92"/>
    </row>
    <row r="92" spans="1:26" x14ac:dyDescent="0.2">
      <c r="A92" s="92"/>
      <c r="B92" s="92"/>
      <c r="C92" s="92"/>
      <c r="D92" s="92"/>
      <c r="E92" s="92"/>
      <c r="F92" s="92"/>
      <c r="G92" s="92"/>
      <c r="H92" s="92"/>
      <c r="I92" s="92"/>
      <c r="J92" s="92"/>
      <c r="S92" s="92"/>
      <c r="T92" s="92"/>
      <c r="U92" s="92"/>
      <c r="V92" s="92"/>
      <c r="W92" s="92"/>
      <c r="X92" s="140"/>
      <c r="Y92" s="140"/>
      <c r="Z92" s="92"/>
    </row>
    <row r="93" spans="1:26" x14ac:dyDescent="0.2">
      <c r="A93" s="92"/>
      <c r="B93" s="92"/>
      <c r="C93" s="92"/>
      <c r="D93" s="92"/>
      <c r="E93" s="92"/>
      <c r="F93" s="92"/>
      <c r="G93" s="92"/>
      <c r="H93" s="92"/>
      <c r="I93" s="92"/>
      <c r="J93" s="92"/>
      <c r="S93" s="92"/>
      <c r="T93" s="92"/>
      <c r="U93" s="92"/>
      <c r="V93" s="92"/>
      <c r="W93" s="92"/>
      <c r="X93" s="140"/>
      <c r="Y93" s="140"/>
      <c r="Z93" s="92"/>
    </row>
    <row r="94" spans="1:26" x14ac:dyDescent="0.2">
      <c r="A94" s="92"/>
      <c r="B94" s="92"/>
      <c r="C94" s="92"/>
      <c r="D94" s="92"/>
      <c r="E94" s="92"/>
      <c r="F94" s="92"/>
      <c r="G94" s="92"/>
      <c r="H94" s="92"/>
      <c r="I94" s="92"/>
      <c r="J94" s="92"/>
      <c r="S94" s="92"/>
      <c r="T94" s="92"/>
      <c r="U94" s="92"/>
      <c r="V94" s="92"/>
      <c r="W94" s="92"/>
      <c r="X94" s="140"/>
      <c r="Y94" s="140"/>
      <c r="Z94" s="92"/>
    </row>
    <row r="95" spans="1:26" x14ac:dyDescent="0.2">
      <c r="A95" s="92"/>
      <c r="B95" s="92"/>
      <c r="C95" s="92"/>
      <c r="D95" s="92"/>
      <c r="E95" s="92"/>
      <c r="F95" s="92"/>
      <c r="G95" s="92"/>
      <c r="H95" s="92"/>
      <c r="I95" s="92"/>
      <c r="J95" s="92"/>
      <c r="S95" s="92"/>
      <c r="T95" s="92"/>
      <c r="U95" s="92"/>
      <c r="V95" s="92"/>
      <c r="W95" s="92"/>
      <c r="X95" s="140"/>
      <c r="Y95" s="140"/>
      <c r="Z95" s="92"/>
    </row>
    <row r="96" spans="1:26" x14ac:dyDescent="0.2">
      <c r="A96" s="92"/>
      <c r="B96" s="92"/>
      <c r="C96" s="92"/>
      <c r="D96" s="92"/>
      <c r="E96" s="92"/>
      <c r="F96" s="92"/>
      <c r="G96" s="92"/>
      <c r="H96" s="92"/>
      <c r="I96" s="92"/>
      <c r="J96" s="92"/>
      <c r="S96" s="92"/>
      <c r="T96" s="92"/>
      <c r="U96" s="92"/>
      <c r="V96" s="92"/>
      <c r="W96" s="92"/>
      <c r="X96" s="140"/>
      <c r="Y96" s="140"/>
      <c r="Z96" s="92"/>
    </row>
    <row r="97" spans="1:26" x14ac:dyDescent="0.2">
      <c r="A97" s="92"/>
      <c r="B97" s="92"/>
      <c r="C97" s="92"/>
      <c r="D97" s="92"/>
      <c r="E97" s="92"/>
      <c r="F97" s="92"/>
      <c r="G97" s="92"/>
      <c r="H97" s="92"/>
      <c r="I97" s="92"/>
      <c r="J97" s="92"/>
      <c r="S97" s="92"/>
      <c r="T97" s="92"/>
      <c r="U97" s="92"/>
      <c r="V97" s="92"/>
      <c r="W97" s="92"/>
      <c r="X97" s="140"/>
      <c r="Y97" s="140"/>
      <c r="Z97" s="92"/>
    </row>
    <row r="98" spans="1:26" x14ac:dyDescent="0.2">
      <c r="A98" s="92"/>
      <c r="B98" s="92"/>
      <c r="C98" s="92"/>
      <c r="D98" s="92"/>
      <c r="E98" s="92"/>
      <c r="F98" s="92"/>
      <c r="G98" s="92"/>
      <c r="H98" s="92"/>
      <c r="I98" s="92"/>
      <c r="J98" s="92"/>
      <c r="S98" s="92"/>
      <c r="T98" s="92"/>
      <c r="U98" s="92"/>
      <c r="V98" s="92"/>
      <c r="W98" s="92"/>
      <c r="X98" s="140"/>
      <c r="Y98" s="140"/>
      <c r="Z98" s="92"/>
    </row>
    <row r="99" spans="1:26" x14ac:dyDescent="0.2">
      <c r="A99" s="92"/>
      <c r="B99" s="92"/>
      <c r="C99" s="92"/>
      <c r="D99" s="92"/>
      <c r="E99" s="92"/>
      <c r="F99" s="92"/>
      <c r="G99" s="92"/>
      <c r="H99" s="92"/>
      <c r="I99" s="92"/>
      <c r="J99" s="92"/>
      <c r="S99" s="92"/>
      <c r="T99" s="92"/>
      <c r="U99" s="92"/>
      <c r="V99" s="92"/>
      <c r="W99" s="92"/>
      <c r="X99" s="140"/>
      <c r="Y99" s="140"/>
      <c r="Z99" s="92"/>
    </row>
  </sheetData>
  <sheetProtection selectLockedCells="1"/>
  <mergeCells count="1">
    <mergeCell ref="G17:H17"/>
  </mergeCells>
  <phoneticPr fontId="10" type="noConversion"/>
  <conditionalFormatting sqref="G18 G21 G36 G39 G42 G45 G48">
    <cfRule type="cellIs" dxfId="330" priority="1" stopIfTrue="1" operator="lessThan">
      <formula>12</formula>
    </cfRule>
  </conditionalFormatting>
  <conditionalFormatting sqref="G22">
    <cfRule type="cellIs" dxfId="329" priority="2" stopIfTrue="1" operator="equal">
      <formula>2</formula>
    </cfRule>
  </conditionalFormatting>
  <conditionalFormatting sqref="G24">
    <cfRule type="cellIs" dxfId="328" priority="3" stopIfTrue="1" operator="equal">
      <formula>3</formula>
    </cfRule>
  </conditionalFormatting>
  <conditionalFormatting sqref="G27">
    <cfRule type="cellIs" dxfId="327" priority="4" stopIfTrue="1" operator="equal">
      <formula>4</formula>
    </cfRule>
  </conditionalFormatting>
  <conditionalFormatting sqref="G30">
    <cfRule type="cellIs" dxfId="326" priority="5" stopIfTrue="1" operator="equal">
      <formula>5</formula>
    </cfRule>
  </conditionalFormatting>
  <conditionalFormatting sqref="G33">
    <cfRule type="cellIs" dxfId="325" priority="6" stopIfTrue="1" operator="equal">
      <formula>6</formula>
    </cfRule>
  </conditionalFormatting>
  <dataValidations xWindow="92" yWindow="414" count="5">
    <dataValidation type="whole" operator="greaterThan" allowBlank="1" showErrorMessage="1" errorTitle="For lenge siden ..." error="Årstallet må være større enn 1899" sqref="E3:F3">
      <formula1>1899</formula1>
    </dataValidation>
    <dataValidation allowBlank="1" showInputMessage="1" showErrorMessage="1" promptTitle="Navn" prompt="på person / hendelse" sqref="B48 B45 B42 B39 B36 B33 B30 B27 B24"/>
    <dataValidation allowBlank="1" showInputMessage="1" showErrorMessage="1" promptTitle="Dato det skjedde" prompt="dd.mm.åååå" sqref="B49 B46 B43 B40 B37 B34 B31 B28 B25"/>
    <dataValidation allowBlank="1" showInputMessage="1" showErrorMessage="1" promptTitle="Bryllupsdato" prompt="dd.mm.åååå" sqref="B22"/>
    <dataValidation allowBlank="1" showInputMessage="1" showErrorMessage="1" promptTitle="Fast navn ..." prompt=" " sqref="B21"/>
  </dataValidations>
  <pageMargins left="0.78740157480314965" right="0.19685039370078741" top="0.78740157480314965" bottom="0" header="0.51181102362204722" footer="0.51181102362204722"/>
  <pageSetup paperSize="9" orientation="portrait" horizontalDpi="1200" verticalDpi="1200" r:id="rId1"/>
  <headerFooter alignWithMargins="0">
    <oddFooter>&amp;R&amp;7ghe&amp;G 2011</oddFooter>
  </headerFooter>
  <cellWatches>
    <cellWatch r="B22"/>
  </cellWatches>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3" enableFormatConditionsCalculation="0">
    <tabColor indexed="41"/>
  </sheetPr>
  <dimension ref="A1:Z55"/>
  <sheetViews>
    <sheetView showGridLines="0" tabSelected="1" zoomScaleNormal="100" workbookViewId="0">
      <pane ySplit="6" topLeftCell="A7" activePane="bottomLeft" state="frozenSplit"/>
      <selection pane="bottomLeft" activeCell="F13" sqref="F13"/>
    </sheetView>
  </sheetViews>
  <sheetFormatPr baseColWidth="10" defaultColWidth="9.140625" defaultRowHeight="12.75" x14ac:dyDescent="0.2"/>
  <cols>
    <col min="1" max="1" width="2.85546875" customWidth="1"/>
    <col min="2" max="2" width="7.5703125" customWidth="1"/>
    <col min="3" max="5" width="9.140625" customWidth="1"/>
    <col min="6" max="6" width="8.5703125" customWidth="1"/>
    <col min="7" max="7" width="7.140625" style="41" customWidth="1"/>
    <col min="8" max="8" width="5" style="8" customWidth="1"/>
    <col min="9" max="9" width="3.42578125" style="8" customWidth="1"/>
    <col min="10" max="10" width="31.42578125" style="10" customWidth="1"/>
    <col min="11" max="12" width="4.7109375" customWidth="1"/>
    <col min="13" max="13" width="1.85546875" style="92" customWidth="1"/>
    <col min="14" max="14" width="20.42578125" style="92" customWidth="1"/>
    <col min="15" max="15" width="2.140625" style="92" customWidth="1"/>
    <col min="16" max="16" width="8.42578125" style="244" customWidth="1"/>
    <col min="17" max="26" width="9.140625" style="244"/>
  </cols>
  <sheetData>
    <row r="1" spans="1:26" s="92" customFormat="1" x14ac:dyDescent="0.2">
      <c r="A1" s="133"/>
      <c r="G1" s="347"/>
      <c r="H1" s="348"/>
      <c r="I1" s="348"/>
      <c r="J1" s="349">
        <f>Info!$E$1</f>
        <v>2014</v>
      </c>
      <c r="P1" s="325"/>
    </row>
    <row r="2" spans="1:26" s="92" customFormat="1" ht="23.25" x14ac:dyDescent="0.35">
      <c r="B2" s="414"/>
      <c r="C2" s="414"/>
      <c r="D2" s="415"/>
      <c r="E2" s="415"/>
      <c r="F2" s="416" t="str">
        <f>Info!C41</f>
        <v>Fleksitid</v>
      </c>
      <c r="G2" s="417"/>
      <c r="H2" s="418"/>
      <c r="I2" s="418"/>
      <c r="J2" s="419" t="s">
        <v>10</v>
      </c>
      <c r="N2" s="325"/>
    </row>
    <row r="3" spans="1:26" s="92" customFormat="1" ht="17.25" customHeight="1" x14ac:dyDescent="0.2">
      <c r="A3" s="133"/>
      <c r="B3" s="356"/>
      <c r="C3" s="357"/>
      <c r="D3" s="358"/>
      <c r="E3" s="359"/>
      <c r="F3" s="360">
        <f>Info!$C$5</f>
        <v>0</v>
      </c>
      <c r="G3" s="361"/>
      <c r="H3" s="362"/>
      <c r="I3" s="362"/>
      <c r="J3" s="314"/>
      <c r="N3" s="325"/>
    </row>
    <row r="4" spans="1:26" s="92" customFormat="1" ht="15" customHeight="1" thickBot="1" x14ac:dyDescent="0.25">
      <c r="A4" s="133"/>
      <c r="B4" s="363"/>
      <c r="C4" s="364"/>
      <c r="D4" s="365"/>
      <c r="E4" s="366"/>
      <c r="F4" s="367">
        <f>Info!$C$6</f>
        <v>0</v>
      </c>
      <c r="G4" s="368"/>
      <c r="H4" s="366"/>
      <c r="I4" s="366"/>
      <c r="J4" s="365"/>
      <c r="N4" s="325"/>
    </row>
    <row r="5" spans="1:26" x14ac:dyDescent="0.2">
      <c r="B5" s="3"/>
      <c r="C5" s="4" t="s">
        <v>0</v>
      </c>
      <c r="D5" s="4"/>
      <c r="E5" s="4" t="s">
        <v>1</v>
      </c>
      <c r="F5" s="4"/>
      <c r="G5" s="42"/>
      <c r="H5" s="468" t="s">
        <v>208</v>
      </c>
      <c r="I5" s="469"/>
      <c r="J5" s="9" t="s">
        <v>6</v>
      </c>
      <c r="K5" s="462" t="s">
        <v>216</v>
      </c>
      <c r="L5" s="463"/>
      <c r="M5" s="326"/>
      <c r="N5" s="325"/>
    </row>
    <row r="6" spans="1:26" ht="13.5" thickBot="1" x14ac:dyDescent="0.25">
      <c r="B6" s="5" t="s">
        <v>2</v>
      </c>
      <c r="C6" s="6" t="s">
        <v>3</v>
      </c>
      <c r="D6" s="6" t="s">
        <v>4</v>
      </c>
      <c r="E6" s="6" t="s">
        <v>3</v>
      </c>
      <c r="F6" s="6" t="s">
        <v>4</v>
      </c>
      <c r="G6" s="188" t="s">
        <v>139</v>
      </c>
      <c r="H6" s="6" t="s">
        <v>4</v>
      </c>
      <c r="I6" s="308" t="s">
        <v>207</v>
      </c>
      <c r="J6" s="172" t="str">
        <f>"Fleksi"&amp;IF(E43&lt;Info!D10,"tid: "&amp;IF(E43&lt;0,"-","")&amp;ABS(F43)&amp;":"&amp;ABS(ROUND(G43,)),"dager: "&amp;ROUND(H$43,1))&amp;"   Ferie: "&amp;E$47</f>
        <v>Fleksitid: 0:0   Ferie: 0</v>
      </c>
      <c r="K6" s="320" t="s">
        <v>4</v>
      </c>
      <c r="L6" s="322" t="s">
        <v>215</v>
      </c>
      <c r="M6" s="133"/>
      <c r="N6" s="325"/>
    </row>
    <row r="7" spans="1:26" s="11" customFormat="1" x14ac:dyDescent="0.2">
      <c r="A7" s="148">
        <f>IF(WEEKDAY(B7,2)&lt;6,INT((B7-(DATE(YEAR(B7+(MOD(8-WEEKDAY(B7),7)-3)),1,1))-3+
MOD(WEEKDAY(DATE(YEAR(B7+(MOD(8-WEEKDAY(B7),7)-3)),1,1))+1,7))/7)+1,"")</f>
        <v>1</v>
      </c>
      <c r="B7" s="75">
        <f>DATE(Info!$E$1,1,1)</f>
        <v>41640</v>
      </c>
      <c r="C7" s="58"/>
      <c r="D7" s="58"/>
      <c r="E7" s="58"/>
      <c r="F7" s="58"/>
      <c r="G7" s="43" t="str">
        <f>IF($C7="","",IF(E7&gt;0,(E7*60+F7)-(C7*60+D7)-H7+TRUNC(Info!$D$10*(I7/100)),IF(MID(C7,1,2)="Fl",0,Info!$D$10))-Info!$D$10)</f>
        <v/>
      </c>
      <c r="H7" s="187">
        <f>IF(AND(Info!$C$46&gt;0,$E7&gt;$C7),Info!$C$46,)</f>
        <v>0</v>
      </c>
      <c r="I7" s="309"/>
      <c r="J7" s="177" t="str">
        <f>" "&amp;Info!AB7</f>
        <v xml:space="preserve"> 1. nyttårsdag</v>
      </c>
      <c r="K7" s="321"/>
      <c r="L7" s="341"/>
      <c r="M7" s="327"/>
      <c r="N7" s="325"/>
      <c r="O7" s="325"/>
      <c r="P7" s="243"/>
      <c r="Q7" s="243"/>
      <c r="R7" s="243"/>
      <c r="S7" s="243"/>
      <c r="T7" s="243"/>
      <c r="U7" s="243"/>
      <c r="V7" s="243"/>
      <c r="W7" s="243"/>
      <c r="X7" s="243"/>
      <c r="Y7" s="243"/>
      <c r="Z7" s="243"/>
    </row>
    <row r="8" spans="1:26" s="11" customFormat="1" x14ac:dyDescent="0.2">
      <c r="A8" s="148" t="str">
        <f t="shared" ref="A8:A37" si="0">IF(WEEKDAY(B8,2)=1,INT((B8-(DATE(YEAR(B8+(MOD(8-WEEKDAY(B8),7)-3)),1,1))-3+
MOD(WEEKDAY(DATE(YEAR(B8+(MOD(8-WEEKDAY(B8),7)-3)),1,1))+1,7))/7)+1,"")</f>
        <v/>
      </c>
      <c r="B8" s="68">
        <f t="shared" ref="B8:B37" si="1">B7+1</f>
        <v>41641</v>
      </c>
      <c r="C8" s="59"/>
      <c r="D8" s="59"/>
      <c r="E8" s="59"/>
      <c r="F8" s="59"/>
      <c r="G8" s="44">
        <f>IF(AND(WEEKDAY(B8,2)&gt;5,$C8=""),"",IF(E8&gt;0,(E8*60+F8)-(C8*60+D8)-H8+TRUNC(Info!$D$10*(I8/100)),IF(MID(C8,1,2)="Fl",0,Info!$D$10))-Info!$D$10)</f>
        <v>0</v>
      </c>
      <c r="H8" s="185">
        <f>IF(AND(Info!$C$46&gt;0,$E8&gt;$C8),Info!$C$46,)</f>
        <v>0</v>
      </c>
      <c r="I8" s="310"/>
      <c r="J8" s="175" t="str">
        <f>" "&amp;Info!AB8</f>
        <v xml:space="preserve"> </v>
      </c>
      <c r="K8" s="323"/>
      <c r="L8" s="338"/>
      <c r="M8" s="327"/>
      <c r="N8" s="325"/>
      <c r="O8" s="325"/>
      <c r="P8" s="243"/>
      <c r="Q8" s="243"/>
      <c r="R8" s="243"/>
      <c r="S8" s="243"/>
      <c r="T8" s="243"/>
      <c r="U8" s="243"/>
      <c r="V8" s="243"/>
      <c r="W8" s="243"/>
      <c r="X8" s="243"/>
      <c r="Y8" s="243"/>
      <c r="Z8" s="243"/>
    </row>
    <row r="9" spans="1:26" s="11" customFormat="1" x14ac:dyDescent="0.2">
      <c r="A9" s="148" t="str">
        <f t="shared" si="0"/>
        <v/>
      </c>
      <c r="B9" s="68">
        <f t="shared" si="1"/>
        <v>41642</v>
      </c>
      <c r="C9" s="59"/>
      <c r="D9" s="59"/>
      <c r="E9" s="59"/>
      <c r="F9" s="59"/>
      <c r="G9" s="44">
        <f>IF(AND(WEEKDAY(B9,2)&gt;5,$C9=""),"",IF(E9&gt;0,(E9*60+F9)-(C9*60+D9)-H9+TRUNC(Info!$D$10*(I9/100)),IF(MID(C9,1,2)="Fl",0,Info!$D$10))-Info!$D$10)</f>
        <v>0</v>
      </c>
      <c r="H9" s="185">
        <f>IF(AND(Info!$C$46&gt;0,$E9&gt;$C9),Info!$C$46,)</f>
        <v>0</v>
      </c>
      <c r="I9" s="310"/>
      <c r="J9" s="175" t="str">
        <f>" "&amp;Info!AB9</f>
        <v xml:space="preserve"> </v>
      </c>
      <c r="K9" s="323"/>
      <c r="L9" s="338"/>
      <c r="M9" s="327"/>
      <c r="N9" s="325"/>
      <c r="O9" s="325"/>
      <c r="P9" s="243"/>
      <c r="Q9" s="243"/>
      <c r="R9" s="243"/>
      <c r="S9" s="243"/>
      <c r="T9" s="243"/>
      <c r="U9" s="243"/>
      <c r="V9" s="243"/>
      <c r="W9" s="243"/>
      <c r="X9" s="243"/>
      <c r="Y9" s="243"/>
      <c r="Z9" s="243"/>
    </row>
    <row r="10" spans="1:26" s="11" customFormat="1" x14ac:dyDescent="0.2">
      <c r="A10" s="148" t="str">
        <f t="shared" si="0"/>
        <v/>
      </c>
      <c r="B10" s="68">
        <f t="shared" si="1"/>
        <v>41643</v>
      </c>
      <c r="C10" s="59"/>
      <c r="D10" s="59"/>
      <c r="E10" s="59"/>
      <c r="F10" s="59"/>
      <c r="G10" s="44"/>
      <c r="H10" s="185">
        <f>IF(AND(Info!$C$46&gt;0,$E10&gt;$C10),Info!$C$46,)</f>
        <v>0</v>
      </c>
      <c r="I10" s="310"/>
      <c r="J10" s="175" t="str">
        <f>" "&amp;Info!AB10</f>
        <v xml:space="preserve"> </v>
      </c>
      <c r="K10" s="323"/>
      <c r="L10" s="338"/>
      <c r="M10" s="327"/>
      <c r="N10" s="92"/>
      <c r="O10" s="92"/>
      <c r="P10" s="244"/>
      <c r="Q10" s="244"/>
      <c r="R10" s="243"/>
      <c r="S10" s="243"/>
      <c r="T10" s="243"/>
      <c r="U10" s="243"/>
      <c r="V10" s="243"/>
      <c r="W10" s="243"/>
      <c r="X10" s="243"/>
      <c r="Y10" s="243"/>
      <c r="Z10" s="243"/>
    </row>
    <row r="11" spans="1:26" s="11" customFormat="1" x14ac:dyDescent="0.2">
      <c r="A11" s="148" t="str">
        <f t="shared" si="0"/>
        <v/>
      </c>
      <c r="B11" s="68">
        <f t="shared" si="1"/>
        <v>41644</v>
      </c>
      <c r="C11" s="59"/>
      <c r="D11" s="59"/>
      <c r="E11" s="59"/>
      <c r="F11" s="59"/>
      <c r="G11" s="44"/>
      <c r="H11" s="185">
        <f>IF(AND(Info!$C$46&gt;0,$E11&gt;$C11),Info!$C$46,)</f>
        <v>0</v>
      </c>
      <c r="I11" s="310"/>
      <c r="J11" s="175" t="str">
        <f>" "&amp;Info!AB11</f>
        <v xml:space="preserve"> </v>
      </c>
      <c r="K11" s="323"/>
      <c r="L11" s="338"/>
      <c r="M11" s="328"/>
      <c r="N11" s="92"/>
      <c r="O11" s="92"/>
      <c r="P11" s="244"/>
      <c r="Q11" s="244"/>
      <c r="R11" s="243"/>
      <c r="S11" s="243"/>
      <c r="T11" s="243"/>
      <c r="U11" s="243"/>
      <c r="V11" s="243"/>
      <c r="W11" s="243"/>
      <c r="X11" s="243"/>
      <c r="Y11" s="243"/>
      <c r="Z11" s="243"/>
    </row>
    <row r="12" spans="1:26" x14ac:dyDescent="0.2">
      <c r="A12" s="148">
        <f t="shared" si="0"/>
        <v>2</v>
      </c>
      <c r="B12" s="68">
        <f t="shared" si="1"/>
        <v>41645</v>
      </c>
      <c r="C12" s="59"/>
      <c r="D12" s="59"/>
      <c r="E12" s="59"/>
      <c r="F12" s="59"/>
      <c r="G12" s="44">
        <f>IF(AND(WEEKDAY(B12,2)&gt;5,$C12=""),"",IF(E12&gt;0,(E12*60+F12)-(C12*60+D12)-H12+TRUNC(Info!$D$10*(I12/100)),IF(MID(C12,1,2)="Fl",0,Info!$D$10))-Info!$D$10)</f>
        <v>0</v>
      </c>
      <c r="H12" s="185">
        <f>IF(AND(Info!$C$46&gt;0,$E12&gt;$C12),Info!$C$46,)</f>
        <v>0</v>
      </c>
      <c r="I12" s="310"/>
      <c r="J12" s="175" t="str">
        <f>" "&amp;Info!AB12</f>
        <v xml:space="preserve"> </v>
      </c>
      <c r="K12" s="323"/>
      <c r="L12" s="338"/>
      <c r="M12" s="140"/>
    </row>
    <row r="13" spans="1:26" s="11" customFormat="1" x14ac:dyDescent="0.2">
      <c r="A13" s="148" t="str">
        <f t="shared" si="0"/>
        <v/>
      </c>
      <c r="B13" s="68">
        <f t="shared" si="1"/>
        <v>41646</v>
      </c>
      <c r="C13" s="59"/>
      <c r="D13" s="59"/>
      <c r="E13" s="59"/>
      <c r="F13" s="59"/>
      <c r="G13" s="44">
        <f>IF(AND(WEEKDAY(B13,2)&gt;5,$C13=""),"",IF(E13&gt;0,(E13*60+F13)-(C13*60+D13)-H13+TRUNC(Info!$D$10*(I13/100)),IF(MID(C13,1,2)="Fl",0,Info!$D$10))-Info!$D$10)</f>
        <v>0</v>
      </c>
      <c r="H13" s="185">
        <f>IF(AND(Info!$C$46&gt;0,$E13&gt;$C13),Info!$C$46,)</f>
        <v>0</v>
      </c>
      <c r="I13" s="310"/>
      <c r="J13" s="175" t="str">
        <f>" "&amp;Info!AB13</f>
        <v xml:space="preserve"> </v>
      </c>
      <c r="K13" s="323"/>
      <c r="L13" s="338"/>
      <c r="M13" s="327"/>
      <c r="N13" s="92"/>
      <c r="O13" s="92"/>
      <c r="P13" s="244"/>
      <c r="Q13" s="244"/>
      <c r="R13" s="243"/>
      <c r="S13" s="243"/>
      <c r="T13" s="243"/>
      <c r="U13" s="243"/>
      <c r="V13" s="243"/>
      <c r="W13" s="243"/>
      <c r="X13" s="243"/>
      <c r="Y13" s="243"/>
      <c r="Z13" s="243"/>
    </row>
    <row r="14" spans="1:26" s="11" customFormat="1" x14ac:dyDescent="0.2">
      <c r="A14" s="148" t="str">
        <f t="shared" si="0"/>
        <v/>
      </c>
      <c r="B14" s="68">
        <f t="shared" si="1"/>
        <v>41647</v>
      </c>
      <c r="C14" s="59"/>
      <c r="D14" s="59"/>
      <c r="E14" s="59"/>
      <c r="F14" s="59"/>
      <c r="G14" s="44">
        <f>IF(AND(WEEKDAY(B14,2)&gt;5,$C14=""),"",IF(E14&gt;0,(E14*60+F14)-(C14*60+D14)-H14+TRUNC(Info!$D$10*(I14/100)),IF(MID(C14,1,2)="Fl",0,Info!$D$10))-Info!$D$10)</f>
        <v>0</v>
      </c>
      <c r="H14" s="185">
        <f>IF(AND(Info!$C$46&gt;0,$E14&gt;$C14),Info!$C$46,)</f>
        <v>0</v>
      </c>
      <c r="I14" s="310"/>
      <c r="J14" s="175" t="str">
        <f>" "&amp;Info!AB14</f>
        <v xml:space="preserve"> </v>
      </c>
      <c r="K14" s="323"/>
      <c r="L14" s="338"/>
      <c r="M14" s="327"/>
      <c r="N14" s="92"/>
      <c r="O14" s="92"/>
      <c r="P14" s="244"/>
      <c r="Q14" s="244"/>
      <c r="R14" s="243"/>
      <c r="S14" s="243"/>
      <c r="T14" s="243"/>
      <c r="U14" s="243"/>
      <c r="V14" s="243"/>
      <c r="W14" s="243"/>
      <c r="X14" s="243"/>
      <c r="Y14" s="243"/>
      <c r="Z14" s="243"/>
    </row>
    <row r="15" spans="1:26" s="11" customFormat="1" x14ac:dyDescent="0.2">
      <c r="A15" s="148" t="str">
        <f t="shared" si="0"/>
        <v/>
      </c>
      <c r="B15" s="68">
        <f t="shared" si="1"/>
        <v>41648</v>
      </c>
      <c r="C15" s="59"/>
      <c r="D15" s="59"/>
      <c r="E15" s="59"/>
      <c r="F15" s="59"/>
      <c r="G15" s="44">
        <f>IF(AND(WEEKDAY(B15,2)&gt;5,$C15=""),"",IF(E15&gt;0,(E15*60+F15)-(C15*60+D15)-H15+TRUNC(Info!$D$10*(I15/100)),IF(MID(C15,1,2)="Fl",0,Info!$D$10))-Info!$D$10)</f>
        <v>0</v>
      </c>
      <c r="H15" s="185">
        <f>IF(AND(Info!$C$46&gt;0,$E15&gt;$C15),Info!$C$46,)</f>
        <v>0</v>
      </c>
      <c r="I15" s="310"/>
      <c r="J15" s="175" t="str">
        <f>" "&amp;Info!AB15</f>
        <v xml:space="preserve"> </v>
      </c>
      <c r="K15" s="323"/>
      <c r="L15" s="338"/>
      <c r="M15" s="327"/>
      <c r="N15" s="92"/>
      <c r="O15" s="92"/>
      <c r="P15" s="244"/>
      <c r="Q15" s="244"/>
      <c r="R15" s="243"/>
      <c r="S15" s="243"/>
      <c r="T15" s="243"/>
      <c r="U15" s="243"/>
      <c r="V15" s="243"/>
      <c r="W15" s="243"/>
      <c r="X15" s="243"/>
      <c r="Y15" s="243"/>
      <c r="Z15" s="243"/>
    </row>
    <row r="16" spans="1:26" s="11" customFormat="1" x14ac:dyDescent="0.2">
      <c r="A16" s="148" t="str">
        <f t="shared" si="0"/>
        <v/>
      </c>
      <c r="B16" s="68">
        <f t="shared" si="1"/>
        <v>41649</v>
      </c>
      <c r="C16" s="59"/>
      <c r="D16" s="59"/>
      <c r="E16" s="59"/>
      <c r="F16" s="59"/>
      <c r="G16" s="44">
        <f>IF(AND(WEEKDAY(B16,2)&gt;5,$C16=""),"",IF(E16&gt;0,(E16*60+F16)-(C16*60+D16)-H16+TRUNC(Info!$D$10*(I16/100)),IF(MID(C16,1,2)="Fl",0,Info!$D$10))-Info!$D$10)</f>
        <v>0</v>
      </c>
      <c r="H16" s="185">
        <f>IF(AND(Info!$C$46&gt;0,$E16&gt;$C16),Info!$C$46,)</f>
        <v>0</v>
      </c>
      <c r="I16" s="310"/>
      <c r="J16" s="175" t="str">
        <f>" "&amp;Info!AB16</f>
        <v xml:space="preserve"> </v>
      </c>
      <c r="K16" s="323"/>
      <c r="L16" s="338"/>
      <c r="M16" s="327"/>
      <c r="N16" s="92"/>
      <c r="O16" s="92"/>
      <c r="P16" s="244"/>
      <c r="Q16" s="244"/>
      <c r="R16" s="243"/>
      <c r="S16" s="243"/>
      <c r="T16" s="243"/>
      <c r="U16" s="243"/>
      <c r="V16" s="243"/>
      <c r="W16" s="243"/>
      <c r="X16" s="243"/>
      <c r="Y16" s="243"/>
      <c r="Z16" s="243"/>
    </row>
    <row r="17" spans="1:26" s="11" customFormat="1" x14ac:dyDescent="0.2">
      <c r="A17" s="148" t="str">
        <f t="shared" si="0"/>
        <v/>
      </c>
      <c r="B17" s="68">
        <f t="shared" si="1"/>
        <v>41650</v>
      </c>
      <c r="C17" s="59"/>
      <c r="D17" s="59"/>
      <c r="E17" s="59"/>
      <c r="F17" s="59"/>
      <c r="G17" s="44"/>
      <c r="H17" s="185">
        <f>IF(AND(Info!$C$46&gt;0,$E17&gt;$C17),Info!$C$46,)</f>
        <v>0</v>
      </c>
      <c r="I17" s="310"/>
      <c r="J17" s="175" t="str">
        <f>" "&amp;Info!AB17</f>
        <v xml:space="preserve"> </v>
      </c>
      <c r="K17" s="323"/>
      <c r="L17" s="338"/>
      <c r="M17" s="327"/>
      <c r="N17" s="92"/>
      <c r="O17" s="92"/>
      <c r="P17" s="244"/>
      <c r="Q17" s="244"/>
      <c r="R17" s="243"/>
      <c r="S17" s="243"/>
      <c r="T17" s="243"/>
      <c r="U17" s="243"/>
      <c r="V17" s="243"/>
      <c r="W17" s="243"/>
      <c r="X17" s="243"/>
      <c r="Y17" s="243"/>
      <c r="Z17" s="243"/>
    </row>
    <row r="18" spans="1:26" s="11" customFormat="1" x14ac:dyDescent="0.2">
      <c r="A18" s="148" t="str">
        <f t="shared" si="0"/>
        <v/>
      </c>
      <c r="B18" s="68">
        <f t="shared" si="1"/>
        <v>41651</v>
      </c>
      <c r="C18" s="59"/>
      <c r="D18" s="59"/>
      <c r="E18" s="59"/>
      <c r="F18" s="59"/>
      <c r="G18" s="44"/>
      <c r="H18" s="185">
        <f>IF(AND(Info!$C$46&gt;0,$E18&gt;$C18),Info!$C$46,)</f>
        <v>0</v>
      </c>
      <c r="I18" s="310"/>
      <c r="J18" s="175" t="str">
        <f>" "&amp;Info!AB18</f>
        <v xml:space="preserve"> </v>
      </c>
      <c r="K18" s="323"/>
      <c r="L18" s="338"/>
      <c r="M18" s="327"/>
      <c r="N18" s="92"/>
      <c r="O18" s="92"/>
      <c r="P18" s="244"/>
      <c r="Q18" s="244"/>
      <c r="R18" s="243"/>
      <c r="S18" s="243"/>
      <c r="T18" s="243"/>
      <c r="U18" s="243"/>
      <c r="V18" s="243"/>
      <c r="W18" s="243"/>
      <c r="X18" s="243"/>
      <c r="Y18" s="243"/>
      <c r="Z18" s="243"/>
    </row>
    <row r="19" spans="1:26" s="11" customFormat="1" x14ac:dyDescent="0.2">
      <c r="A19" s="148">
        <f t="shared" si="0"/>
        <v>3</v>
      </c>
      <c r="B19" s="68">
        <f t="shared" si="1"/>
        <v>41652</v>
      </c>
      <c r="C19" s="59"/>
      <c r="D19" s="59"/>
      <c r="E19" s="59"/>
      <c r="F19" s="59"/>
      <c r="G19" s="44">
        <f>IF(AND(WEEKDAY(B19,2)&gt;5,$C19=""),"",IF(E19&gt;0,(E19*60+F19)-(C19*60+D19)-H19+TRUNC(Info!$D$10*(I19/100)),IF(MID(C19,1,2)="Fl",0,Info!$D$10))-Info!$D$10)</f>
        <v>0</v>
      </c>
      <c r="H19" s="185">
        <f>IF(AND(Info!$C$46&gt;0,$E19&gt;$C19),Info!$C$46,)</f>
        <v>0</v>
      </c>
      <c r="I19" s="310"/>
      <c r="J19" s="175" t="str">
        <f>" "&amp;Info!AB19</f>
        <v xml:space="preserve"> </v>
      </c>
      <c r="K19" s="323"/>
      <c r="L19" s="338"/>
      <c r="M19" s="327"/>
      <c r="N19" s="92"/>
      <c r="O19" s="92"/>
      <c r="P19" s="244"/>
      <c r="Q19" s="244"/>
      <c r="R19" s="243"/>
      <c r="S19" s="243"/>
      <c r="T19" s="243"/>
      <c r="U19" s="243"/>
      <c r="V19" s="243"/>
      <c r="W19" s="243"/>
      <c r="X19" s="243"/>
      <c r="Y19" s="243"/>
      <c r="Z19" s="243"/>
    </row>
    <row r="20" spans="1:26" s="11" customFormat="1" x14ac:dyDescent="0.2">
      <c r="A20" s="148" t="str">
        <f t="shared" si="0"/>
        <v/>
      </c>
      <c r="B20" s="68">
        <f t="shared" si="1"/>
        <v>41653</v>
      </c>
      <c r="C20" s="59"/>
      <c r="D20" s="59"/>
      <c r="E20" s="59"/>
      <c r="F20" s="59"/>
      <c r="G20" s="44">
        <f>IF(AND(WEEKDAY(B20,2)&gt;5,$C20=""),"",IF(E20&gt;0,(E20*60+F20)-(C20*60+D20)-H20+TRUNC(Info!$D$10*(I20/100)),IF(MID(C20,1,2)="Fl",0,Info!$D$10))-Info!$D$10)</f>
        <v>0</v>
      </c>
      <c r="H20" s="185">
        <f>IF(AND(Info!$C$46&gt;0,$E20&gt;$C20),Info!$C$46,)</f>
        <v>0</v>
      </c>
      <c r="I20" s="310"/>
      <c r="J20" s="175" t="str">
        <f>" "&amp;Info!AB20</f>
        <v xml:space="preserve"> </v>
      </c>
      <c r="K20" s="323"/>
      <c r="L20" s="338"/>
      <c r="M20" s="327"/>
      <c r="N20" s="92"/>
      <c r="O20" s="92"/>
      <c r="P20" s="244"/>
      <c r="Q20" s="244"/>
      <c r="R20" s="243"/>
      <c r="S20" s="243"/>
      <c r="T20" s="243"/>
      <c r="U20" s="243"/>
      <c r="V20" s="243"/>
      <c r="W20" s="243"/>
      <c r="X20" s="243"/>
      <c r="Y20" s="243"/>
      <c r="Z20" s="243"/>
    </row>
    <row r="21" spans="1:26" s="11" customFormat="1" x14ac:dyDescent="0.2">
      <c r="A21" s="148" t="str">
        <f t="shared" si="0"/>
        <v/>
      </c>
      <c r="B21" s="68">
        <f t="shared" si="1"/>
        <v>41654</v>
      </c>
      <c r="C21" s="59"/>
      <c r="D21" s="59"/>
      <c r="E21" s="59"/>
      <c r="F21" s="59"/>
      <c r="G21" s="44">
        <f>IF(AND(WEEKDAY(B21,2)&gt;5,$C21=""),"",IF(E21&gt;0,(E21*60+F21)-(C21*60+D21)-H21+TRUNC(Info!$D$10*(I21/100)),IF(MID(C21,1,2)="Fl",0,Info!$D$10))-Info!$D$10)</f>
        <v>0</v>
      </c>
      <c r="H21" s="185">
        <f>IF(AND(Info!$C$46&gt;0,$E21&gt;$C21),Info!$C$46,)</f>
        <v>0</v>
      </c>
      <c r="I21" s="310"/>
      <c r="J21" s="175" t="str">
        <f>" "&amp;Info!AB21</f>
        <v xml:space="preserve"> </v>
      </c>
      <c r="K21" s="323"/>
      <c r="L21" s="338"/>
      <c r="M21" s="327"/>
      <c r="N21" s="92"/>
      <c r="O21" s="92"/>
      <c r="P21" s="244"/>
      <c r="Q21" s="244"/>
      <c r="R21" s="243"/>
      <c r="S21" s="243"/>
      <c r="T21" s="243"/>
      <c r="U21" s="243"/>
      <c r="V21" s="243"/>
      <c r="W21" s="243"/>
      <c r="X21" s="243"/>
      <c r="Y21" s="243"/>
      <c r="Z21" s="243"/>
    </row>
    <row r="22" spans="1:26" s="11" customFormat="1" x14ac:dyDescent="0.2">
      <c r="A22" s="148" t="str">
        <f t="shared" si="0"/>
        <v/>
      </c>
      <c r="B22" s="68">
        <f t="shared" si="1"/>
        <v>41655</v>
      </c>
      <c r="C22" s="59"/>
      <c r="D22" s="59"/>
      <c r="E22" s="59"/>
      <c r="F22" s="59"/>
      <c r="G22" s="44">
        <f>IF(AND(WEEKDAY(B22,2)&gt;5,$C22=""),"",IF(E22&gt;0,(E22*60+F22)-(C22*60+D22)-H22+TRUNC(Info!$D$10*(I22/100)),IF(MID(C22,1,2)="Fl",0,Info!$D$10))-Info!$D$10)</f>
        <v>0</v>
      </c>
      <c r="H22" s="185">
        <f>IF(AND(Info!$C$46&gt;0,$E22&gt;$C22),Info!$C$46,)</f>
        <v>0</v>
      </c>
      <c r="I22" s="310"/>
      <c r="J22" s="175" t="str">
        <f>" "&amp;Info!AB22</f>
        <v xml:space="preserve"> </v>
      </c>
      <c r="K22" s="323"/>
      <c r="L22" s="338"/>
      <c r="M22" s="327"/>
      <c r="N22" s="92"/>
      <c r="O22" s="92"/>
      <c r="P22" s="244"/>
      <c r="Q22" s="244"/>
      <c r="R22" s="243"/>
      <c r="S22" s="243"/>
      <c r="T22" s="243"/>
      <c r="U22" s="243"/>
      <c r="V22" s="243"/>
      <c r="W22" s="243"/>
      <c r="X22" s="243"/>
      <c r="Y22" s="243"/>
      <c r="Z22" s="243"/>
    </row>
    <row r="23" spans="1:26" s="11" customFormat="1" x14ac:dyDescent="0.2">
      <c r="A23" s="148" t="str">
        <f t="shared" si="0"/>
        <v/>
      </c>
      <c r="B23" s="68">
        <f t="shared" si="1"/>
        <v>41656</v>
      </c>
      <c r="C23" s="59"/>
      <c r="D23" s="59"/>
      <c r="E23" s="59"/>
      <c r="F23" s="59"/>
      <c r="G23" s="44">
        <f>IF(AND(WEEKDAY(B23,2)&gt;5,$C23=""),"",IF(E23&gt;0,(E23*60+F23)-(C23*60+D23)-H23+TRUNC(Info!$D$10*(I23/100)),IF(MID(C23,1,2)="Fl",0,Info!$D$10))-Info!$D$10)</f>
        <v>0</v>
      </c>
      <c r="H23" s="185">
        <f>IF(AND(Info!$C$46&gt;0,$E23&gt;$C23),Info!$C$46,)</f>
        <v>0</v>
      </c>
      <c r="I23" s="310"/>
      <c r="J23" s="175" t="str">
        <f>" "&amp;Info!AB23</f>
        <v xml:space="preserve"> </v>
      </c>
      <c r="K23" s="323"/>
      <c r="L23" s="338"/>
      <c r="M23" s="327"/>
      <c r="N23" s="92"/>
      <c r="O23" s="92"/>
      <c r="P23" s="244"/>
      <c r="Q23" s="244"/>
      <c r="R23" s="243"/>
      <c r="S23" s="243"/>
      <c r="T23" s="243"/>
      <c r="U23" s="243"/>
      <c r="V23" s="243"/>
      <c r="W23" s="243"/>
      <c r="X23" s="243"/>
      <c r="Y23" s="243"/>
      <c r="Z23" s="243"/>
    </row>
    <row r="24" spans="1:26" s="11" customFormat="1" x14ac:dyDescent="0.2">
      <c r="A24" s="148" t="str">
        <f t="shared" si="0"/>
        <v/>
      </c>
      <c r="B24" s="68">
        <f t="shared" si="1"/>
        <v>41657</v>
      </c>
      <c r="C24" s="59"/>
      <c r="D24" s="59"/>
      <c r="E24" s="59"/>
      <c r="F24" s="59"/>
      <c r="G24" s="44" t="str">
        <f>IF(AND(WEEKDAY(B24,2)&gt;5,$C24=""),"",IF(E24&gt;0,(E24*60+F24)-(C24*60+D24)-H24+TRUNC(Info!$D$10*(I24/100)),IF(MID(C24,1,2)="Fl",0,Info!$D$10))-Info!$D$10)</f>
        <v/>
      </c>
      <c r="H24" s="185">
        <f>IF(AND(Info!$C$46&gt;0,$E24&gt;$C24),Info!$C$46,)</f>
        <v>0</v>
      </c>
      <c r="I24" s="310"/>
      <c r="J24" s="175" t="str">
        <f>" "&amp;Info!AB24</f>
        <v xml:space="preserve"> </v>
      </c>
      <c r="K24" s="323"/>
      <c r="L24" s="338"/>
      <c r="M24" s="327"/>
      <c r="N24" s="92"/>
      <c r="O24" s="92"/>
      <c r="P24" s="244"/>
      <c r="Q24" s="244"/>
      <c r="R24" s="243"/>
      <c r="S24" s="243"/>
      <c r="T24" s="243"/>
      <c r="U24" s="243"/>
      <c r="V24" s="243"/>
      <c r="W24" s="243"/>
      <c r="X24" s="243"/>
      <c r="Y24" s="243"/>
      <c r="Z24" s="243"/>
    </row>
    <row r="25" spans="1:26" s="11" customFormat="1" x14ac:dyDescent="0.2">
      <c r="A25" s="148" t="str">
        <f t="shared" si="0"/>
        <v/>
      </c>
      <c r="B25" s="68">
        <f t="shared" si="1"/>
        <v>41658</v>
      </c>
      <c r="C25" s="59"/>
      <c r="D25" s="59"/>
      <c r="E25" s="59"/>
      <c r="F25" s="59"/>
      <c r="G25" s="44" t="str">
        <f>IF(AND(WEEKDAY(B25,2)&gt;5,$C25=""),"",IF(E25&gt;0,(E25*60+F25)-(C25*60+D25)-H25+TRUNC(Info!$D$10*(I25/100)),IF(MID(C25,1,2)="Fl",0,Info!$D$10))-Info!$D$10)</f>
        <v/>
      </c>
      <c r="H25" s="185">
        <f>IF(AND(Info!$C$46&gt;0,$E25&gt;$C25),Info!$C$46,)</f>
        <v>0</v>
      </c>
      <c r="I25" s="310"/>
      <c r="J25" s="175" t="str">
        <f>" "&amp;Info!AB25</f>
        <v xml:space="preserve"> </v>
      </c>
      <c r="K25" s="323"/>
      <c r="L25" s="338"/>
      <c r="M25" s="327"/>
      <c r="N25" s="92"/>
      <c r="O25" s="92"/>
      <c r="P25" s="244"/>
      <c r="Q25" s="244"/>
      <c r="R25" s="243"/>
      <c r="S25" s="243"/>
      <c r="T25" s="243"/>
      <c r="U25" s="243"/>
      <c r="V25" s="243"/>
      <c r="W25" s="243"/>
      <c r="X25" s="243"/>
      <c r="Y25" s="243"/>
      <c r="Z25" s="243"/>
    </row>
    <row r="26" spans="1:26" s="11" customFormat="1" x14ac:dyDescent="0.2">
      <c r="A26" s="148">
        <f t="shared" si="0"/>
        <v>4</v>
      </c>
      <c r="B26" s="68">
        <f t="shared" si="1"/>
        <v>41659</v>
      </c>
      <c r="C26" s="59"/>
      <c r="D26" s="59"/>
      <c r="E26" s="59"/>
      <c r="F26" s="59"/>
      <c r="G26" s="44">
        <f>IF(AND(WEEKDAY(B26,2)&gt;5,$C26=""),"",IF(E26&gt;0,(E26*60+F26)-(C26*60+D26)-H26+TRUNC(Info!$D$10*(I26/100)),IF(MID(C26,1,2)="Fl",0,Info!$D$10))-Info!$D$10)</f>
        <v>0</v>
      </c>
      <c r="H26" s="185">
        <f>IF(AND(Info!$C$46&gt;0,$E26&gt;$C26),Info!$C$46,)</f>
        <v>0</v>
      </c>
      <c r="I26" s="310"/>
      <c r="J26" s="175" t="str">
        <f>" "&amp;Info!AB26</f>
        <v xml:space="preserve"> </v>
      </c>
      <c r="K26" s="323"/>
      <c r="L26" s="338"/>
      <c r="M26" s="327"/>
      <c r="N26" s="92"/>
      <c r="O26" s="92"/>
      <c r="P26" s="244"/>
      <c r="Q26" s="244"/>
      <c r="R26" s="243"/>
      <c r="S26" s="243"/>
      <c r="T26" s="243"/>
      <c r="U26" s="243"/>
      <c r="V26" s="243"/>
      <c r="W26" s="243"/>
      <c r="X26" s="243"/>
      <c r="Y26" s="243"/>
      <c r="Z26" s="243"/>
    </row>
    <row r="27" spans="1:26" s="11" customFormat="1" x14ac:dyDescent="0.2">
      <c r="A27" s="148" t="str">
        <f t="shared" si="0"/>
        <v/>
      </c>
      <c r="B27" s="68">
        <f t="shared" si="1"/>
        <v>41660</v>
      </c>
      <c r="C27" s="59"/>
      <c r="D27" s="59"/>
      <c r="E27" s="59"/>
      <c r="F27" s="59"/>
      <c r="G27" s="44">
        <f>IF(AND(WEEKDAY(B27,2)&gt;5,$C27=""),"",IF(E27&gt;0,(E27*60+F27)-(C27*60+D27)-H27+TRUNC(Info!$D$10*(I27/100)),IF(MID(C27,1,2)="Fl",0,Info!$D$10))-Info!$D$10)</f>
        <v>0</v>
      </c>
      <c r="H27" s="185">
        <f>IF(AND(Info!$C$46&gt;0,$E27&gt;$C27),Info!$C$46,)</f>
        <v>0</v>
      </c>
      <c r="I27" s="310"/>
      <c r="J27" s="175" t="str">
        <f>" "&amp;Info!AB27</f>
        <v xml:space="preserve"> Ingrid Alexandra 10</v>
      </c>
      <c r="K27" s="323"/>
      <c r="L27" s="338"/>
      <c r="M27" s="327"/>
      <c r="N27" s="92"/>
      <c r="O27" s="92"/>
      <c r="P27" s="244"/>
      <c r="Q27" s="244"/>
      <c r="R27" s="243"/>
      <c r="S27" s="243"/>
      <c r="T27" s="243"/>
      <c r="U27" s="243"/>
      <c r="V27" s="243"/>
      <c r="W27" s="243"/>
      <c r="X27" s="243"/>
      <c r="Y27" s="243"/>
      <c r="Z27" s="243"/>
    </row>
    <row r="28" spans="1:26" s="11" customFormat="1" x14ac:dyDescent="0.2">
      <c r="A28" s="148" t="str">
        <f t="shared" si="0"/>
        <v/>
      </c>
      <c r="B28" s="68">
        <f t="shared" si="1"/>
        <v>41661</v>
      </c>
      <c r="C28" s="59"/>
      <c r="D28" s="59"/>
      <c r="E28" s="59"/>
      <c r="F28" s="59"/>
      <c r="G28" s="44">
        <f>IF(AND(WEEKDAY(B28,2)&gt;5,$C28=""),"",IF(E28&gt;0,(E28*60+F28)-(C28*60+D28)-H28+TRUNC(Info!$D$10*(I28/100)),IF(MID(C28,1,2)="Fl",0,Info!$D$10))-Info!$D$10)</f>
        <v>0</v>
      </c>
      <c r="H28" s="185">
        <f>IF(AND(Info!$C$46&gt;0,$E28&gt;$C28),Info!$C$46,)</f>
        <v>0</v>
      </c>
      <c r="I28" s="310"/>
      <c r="J28" s="175" t="str">
        <f>" "&amp;Info!AB28</f>
        <v xml:space="preserve"> </v>
      </c>
      <c r="K28" s="323"/>
      <c r="L28" s="338"/>
      <c r="M28" s="327"/>
      <c r="N28" s="92"/>
      <c r="O28" s="92"/>
      <c r="P28" s="244"/>
      <c r="Q28" s="244"/>
      <c r="R28" s="243"/>
      <c r="S28" s="243"/>
      <c r="T28" s="243"/>
      <c r="U28" s="243"/>
      <c r="V28" s="243"/>
      <c r="W28" s="243"/>
      <c r="X28" s="243"/>
      <c r="Y28" s="243"/>
      <c r="Z28" s="243"/>
    </row>
    <row r="29" spans="1:26" s="11" customFormat="1" x14ac:dyDescent="0.2">
      <c r="A29" s="148" t="str">
        <f t="shared" si="0"/>
        <v/>
      </c>
      <c r="B29" s="68">
        <f t="shared" si="1"/>
        <v>41662</v>
      </c>
      <c r="C29" s="59"/>
      <c r="D29" s="59"/>
      <c r="E29" s="59"/>
      <c r="F29" s="59"/>
      <c r="G29" s="44">
        <f>IF(AND(WEEKDAY(B29,2)&gt;5,$C29=""),"",IF(E29&gt;0,(E29*60+F29)-(C29*60+D29)-H29+TRUNC(Info!$D$10*(I29/100)),IF(MID(C29,1,2)="Fl",0,Info!$D$10))-Info!$D$10)</f>
        <v>0</v>
      </c>
      <c r="H29" s="185">
        <f>IF(AND(Info!$C$46&gt;0,$E29&gt;$C29),Info!$C$46,)</f>
        <v>0</v>
      </c>
      <c r="I29" s="310"/>
      <c r="J29" s="175" t="str">
        <f>" "&amp;Info!AB29</f>
        <v xml:space="preserve"> </v>
      </c>
      <c r="K29" s="323"/>
      <c r="L29" s="338"/>
      <c r="M29" s="327"/>
      <c r="N29" s="92"/>
      <c r="O29" s="92"/>
      <c r="P29" s="244"/>
      <c r="Q29" s="244"/>
      <c r="R29" s="243"/>
      <c r="S29" s="243"/>
      <c r="T29" s="243"/>
      <c r="U29" s="243"/>
      <c r="V29" s="243"/>
      <c r="W29" s="243"/>
      <c r="X29" s="243"/>
      <c r="Y29" s="243"/>
      <c r="Z29" s="243"/>
    </row>
    <row r="30" spans="1:26" s="11" customFormat="1" x14ac:dyDescent="0.2">
      <c r="A30" s="148" t="str">
        <f t="shared" si="0"/>
        <v/>
      </c>
      <c r="B30" s="68">
        <f t="shared" si="1"/>
        <v>41663</v>
      </c>
      <c r="C30" s="59"/>
      <c r="D30" s="59"/>
      <c r="E30" s="59"/>
      <c r="F30" s="59"/>
      <c r="G30" s="44">
        <f>IF(AND(WEEKDAY(B30,2)&gt;5,$C30=""),"",IF(E30&gt;0,(E30*60+F30)-(C30*60+D30)-H30+TRUNC(Info!$D$10*(I30/100)),IF(MID(C30,1,2)="Fl",0,Info!$D$10))-Info!$D$10)</f>
        <v>0</v>
      </c>
      <c r="H30" s="185">
        <f>IF(AND(Info!$C$46&gt;0,$E30&gt;$C30),Info!$C$46,)</f>
        <v>0</v>
      </c>
      <c r="I30" s="310"/>
      <c r="J30" s="175" t="str">
        <f>" "&amp;Info!AB30</f>
        <v xml:space="preserve"> </v>
      </c>
      <c r="K30" s="323"/>
      <c r="L30" s="338"/>
      <c r="M30" s="327"/>
      <c r="N30" s="92"/>
      <c r="O30" s="92"/>
      <c r="P30" s="244"/>
      <c r="Q30" s="244"/>
      <c r="R30" s="243"/>
      <c r="S30" s="243"/>
      <c r="T30" s="243"/>
      <c r="U30" s="243"/>
      <c r="V30" s="243"/>
      <c r="W30" s="243"/>
      <c r="X30" s="243"/>
      <c r="Y30" s="243"/>
      <c r="Z30" s="243"/>
    </row>
    <row r="31" spans="1:26" s="11" customFormat="1" x14ac:dyDescent="0.2">
      <c r="A31" s="148" t="str">
        <f t="shared" si="0"/>
        <v/>
      </c>
      <c r="B31" s="68">
        <f t="shared" si="1"/>
        <v>41664</v>
      </c>
      <c r="C31" s="59"/>
      <c r="D31" s="59"/>
      <c r="E31" s="59"/>
      <c r="F31" s="59"/>
      <c r="G31" s="44" t="str">
        <f>IF(AND(WEEKDAY(B31,2)&gt;5,$C31=""),"",IF(E31&gt;0,(E31*60+F31)-(C31*60+D31)-H31+TRUNC(Info!$D$10*(I31/100)),IF(MID(C31,1,2)="Fl",0,Info!$D$10))-Info!$D$10)</f>
        <v/>
      </c>
      <c r="H31" s="185">
        <f>IF(AND(Info!$C$46&gt;0,$E31&gt;$C31),Info!$C$46,)</f>
        <v>0</v>
      </c>
      <c r="I31" s="310"/>
      <c r="J31" s="175" t="str">
        <f>" "&amp;Info!AB31</f>
        <v xml:space="preserve"> </v>
      </c>
      <c r="K31" s="323"/>
      <c r="L31" s="338"/>
      <c r="M31" s="327"/>
      <c r="N31" s="92"/>
      <c r="O31" s="92"/>
      <c r="P31" s="244"/>
      <c r="Q31" s="244"/>
      <c r="R31" s="243"/>
      <c r="S31" s="243"/>
      <c r="T31" s="243"/>
      <c r="U31" s="243"/>
      <c r="V31" s="243"/>
      <c r="W31" s="243"/>
      <c r="X31" s="243"/>
      <c r="Y31" s="243"/>
      <c r="Z31" s="243"/>
    </row>
    <row r="32" spans="1:26" s="11" customFormat="1" x14ac:dyDescent="0.2">
      <c r="A32" s="148" t="str">
        <f t="shared" si="0"/>
        <v/>
      </c>
      <c r="B32" s="68">
        <f t="shared" si="1"/>
        <v>41665</v>
      </c>
      <c r="C32" s="59"/>
      <c r="D32" s="59"/>
      <c r="E32" s="59"/>
      <c r="F32" s="59"/>
      <c r="G32" s="44" t="str">
        <f>IF(AND(WEEKDAY(B32,2)&gt;5,$C32=""),"",IF(E32&gt;0,(E32*60+F32)-(C32*60+D32)-H32+TRUNC(Info!$D$10*(I32/100)),IF(MID(C32,1,2)="Fl",0,Info!$D$10))-Info!$D$10)</f>
        <v/>
      </c>
      <c r="H32" s="185">
        <f>IF(AND(Info!$C$46&gt;0,$E32&gt;$C32),Info!$C$46,)</f>
        <v>0</v>
      </c>
      <c r="I32" s="310"/>
      <c r="J32" s="175" t="str">
        <f>" "&amp;Info!AB32</f>
        <v xml:space="preserve"> </v>
      </c>
      <c r="K32" s="323"/>
      <c r="L32" s="338"/>
      <c r="M32" s="327"/>
      <c r="N32" s="92"/>
      <c r="O32" s="92"/>
      <c r="P32" s="244"/>
      <c r="Q32" s="244"/>
      <c r="R32" s="243"/>
      <c r="S32" s="243"/>
      <c r="T32" s="243"/>
      <c r="U32" s="243"/>
      <c r="V32" s="243"/>
      <c r="W32" s="243"/>
      <c r="X32" s="243"/>
      <c r="Y32" s="243"/>
      <c r="Z32" s="243"/>
    </row>
    <row r="33" spans="1:26" s="11" customFormat="1" x14ac:dyDescent="0.2">
      <c r="A33" s="148">
        <f t="shared" si="0"/>
        <v>5</v>
      </c>
      <c r="B33" s="68">
        <f t="shared" si="1"/>
        <v>41666</v>
      </c>
      <c r="C33" s="59"/>
      <c r="D33" s="59"/>
      <c r="E33" s="59"/>
      <c r="F33" s="59"/>
      <c r="G33" s="44">
        <f>IF(AND(WEEKDAY(B33,2)&gt;5,$C33=""),"",IF(E33&gt;0,(E33*60+F33)-(C33*60+D33)-H33+TRUNC(Info!$D$10*(I33/100)),IF(MID(C33,1,2)="Fl",0,Info!$D$10))-Info!$D$10)</f>
        <v>0</v>
      </c>
      <c r="H33" s="185">
        <f>IF(AND(Info!$C$46&gt;0,$E33&gt;$C33),Info!$C$46,)</f>
        <v>0</v>
      </c>
      <c r="I33" s="310"/>
      <c r="J33" s="175" t="str">
        <f>" "&amp;Info!AB33</f>
        <v xml:space="preserve"> </v>
      </c>
      <c r="K33" s="323"/>
      <c r="L33" s="338"/>
      <c r="M33" s="327"/>
      <c r="N33" s="92"/>
      <c r="O33" s="92"/>
      <c r="P33" s="244"/>
      <c r="Q33" s="244"/>
      <c r="R33" s="243"/>
      <c r="S33" s="243"/>
      <c r="T33" s="243"/>
      <c r="U33" s="243"/>
      <c r="V33" s="243"/>
      <c r="W33" s="243"/>
      <c r="X33" s="243"/>
      <c r="Y33" s="243"/>
      <c r="Z33" s="243"/>
    </row>
    <row r="34" spans="1:26" s="11" customFormat="1" x14ac:dyDescent="0.2">
      <c r="A34" s="148" t="str">
        <f t="shared" si="0"/>
        <v/>
      </c>
      <c r="B34" s="68">
        <f t="shared" si="1"/>
        <v>41667</v>
      </c>
      <c r="C34" s="59"/>
      <c r="D34" s="59"/>
      <c r="E34" s="59"/>
      <c r="F34" s="59"/>
      <c r="G34" s="44">
        <f>IF(AND(WEEKDAY(B34,2)&gt;5,$C34=""),"",IF(E34&gt;0,(E34*60+F34)-(C34*60+D34)-H34+TRUNC(Info!$D$10*(I34/100)),IF(MID(C34,1,2)="Fl",0,Info!$D$10))-Info!$D$10)</f>
        <v>0</v>
      </c>
      <c r="H34" s="185">
        <f>IF(AND(Info!$C$46&gt;0,$E34&gt;$C34),Info!$C$46,)</f>
        <v>0</v>
      </c>
      <c r="I34" s="310"/>
      <c r="J34" s="175" t="str">
        <f>" "&amp;Info!AB34</f>
        <v xml:space="preserve"> </v>
      </c>
      <c r="K34" s="323"/>
      <c r="L34" s="338"/>
      <c r="M34" s="327"/>
      <c r="N34" s="92"/>
      <c r="O34" s="92"/>
      <c r="P34" s="244"/>
      <c r="Q34" s="244"/>
      <c r="R34" s="243"/>
      <c r="S34" s="243"/>
      <c r="T34" s="243"/>
      <c r="U34" s="243"/>
      <c r="V34" s="243"/>
      <c r="W34" s="243"/>
      <c r="X34" s="243"/>
      <c r="Y34" s="243"/>
      <c r="Z34" s="243"/>
    </row>
    <row r="35" spans="1:26" s="11" customFormat="1" x14ac:dyDescent="0.2">
      <c r="A35" s="148" t="str">
        <f t="shared" si="0"/>
        <v/>
      </c>
      <c r="B35" s="68">
        <f t="shared" si="1"/>
        <v>41668</v>
      </c>
      <c r="C35" s="59"/>
      <c r="D35" s="59"/>
      <c r="E35" s="59"/>
      <c r="F35" s="59"/>
      <c r="G35" s="44">
        <f>IF(AND(WEEKDAY(B35,2)&gt;5,$C35=""),"",IF(E35&gt;0,(E35*60+F35)-(C35*60+D35)-H35+TRUNC(Info!$D$10*(I35/100)),IF(MID(C35,1,2)="Fl",0,Info!$D$10))-Info!$D$10)</f>
        <v>0</v>
      </c>
      <c r="H35" s="185">
        <f>IF(AND(Info!$C$46&gt;0,$E35&gt;$C35),Info!$C$46,)</f>
        <v>0</v>
      </c>
      <c r="I35" s="310"/>
      <c r="J35" s="175" t="str">
        <f>" "&amp;Info!AB35</f>
        <v xml:space="preserve"> </v>
      </c>
      <c r="K35" s="323"/>
      <c r="L35" s="338"/>
      <c r="M35" s="327"/>
      <c r="N35" s="92"/>
      <c r="O35" s="92"/>
      <c r="P35" s="244"/>
      <c r="Q35" s="244"/>
      <c r="R35" s="243"/>
      <c r="S35" s="243"/>
      <c r="T35" s="243"/>
      <c r="U35" s="243"/>
      <c r="V35" s="243"/>
      <c r="W35" s="243"/>
      <c r="X35" s="243"/>
      <c r="Y35" s="243"/>
      <c r="Z35" s="243"/>
    </row>
    <row r="36" spans="1:26" s="11" customFormat="1" x14ac:dyDescent="0.2">
      <c r="A36" s="148" t="str">
        <f t="shared" si="0"/>
        <v/>
      </c>
      <c r="B36" s="68">
        <f t="shared" si="1"/>
        <v>41669</v>
      </c>
      <c r="C36" s="59"/>
      <c r="D36" s="59"/>
      <c r="E36" s="59"/>
      <c r="F36" s="59"/>
      <c r="G36" s="44">
        <f>IF(AND(WEEKDAY(B36,2)&gt;5,$C36=""),"",IF(E36&gt;0,(E36*60+F36)-(C36*60+D36)-H36+TRUNC(Info!$D$10*(I36/100)),IF(MID(C36,1,2)="Fl",0,Info!$D$10))-Info!$D$10)</f>
        <v>0</v>
      </c>
      <c r="H36" s="185">
        <f>IF(AND(Info!$C$46&gt;0,$E36&gt;$C36),Info!$C$46,)</f>
        <v>0</v>
      </c>
      <c r="I36" s="310"/>
      <c r="J36" s="175" t="str">
        <f>" "&amp;Info!AB36</f>
        <v xml:space="preserve"> </v>
      </c>
      <c r="K36" s="323"/>
      <c r="L36" s="338"/>
      <c r="M36" s="327"/>
      <c r="N36" s="325"/>
      <c r="O36" s="325"/>
      <c r="P36" s="243"/>
      <c r="Q36" s="243"/>
      <c r="R36" s="243"/>
      <c r="S36" s="243"/>
      <c r="T36" s="243"/>
      <c r="U36" s="243"/>
      <c r="V36" s="243"/>
      <c r="W36" s="243"/>
      <c r="X36" s="243"/>
      <c r="Y36" s="243"/>
      <c r="Z36" s="243"/>
    </row>
    <row r="37" spans="1:26" s="11" customFormat="1" ht="13.5" thickBot="1" x14ac:dyDescent="0.25">
      <c r="A37" s="148" t="str">
        <f t="shared" si="0"/>
        <v/>
      </c>
      <c r="B37" s="69">
        <f t="shared" si="1"/>
        <v>41670</v>
      </c>
      <c r="C37" s="60"/>
      <c r="D37" s="60"/>
      <c r="E37" s="60"/>
      <c r="F37" s="60"/>
      <c r="G37" s="52">
        <f>IF(AND(WEEKDAY(B37,2)&gt;5,$C37=""),"",IF(E37&gt;0,(E37*60+F37)-(C37*60+D37)-H37+TRUNC(Info!$D$10*(I37/100)),IF(MID(C37,1,2)="Fl",0,Info!$D$10))-Info!$D$10)</f>
        <v>0</v>
      </c>
      <c r="H37" s="186">
        <f>IF(AND(Info!$C$46&gt;0,$E37&gt;$C37),Info!$C$46,)</f>
        <v>0</v>
      </c>
      <c r="I37" s="311"/>
      <c r="J37" s="176" t="str">
        <f>" "&amp;Info!AB37</f>
        <v xml:space="preserve"> </v>
      </c>
      <c r="K37" s="323"/>
      <c r="L37" s="338"/>
      <c r="M37" s="327"/>
      <c r="N37" s="325"/>
      <c r="O37" s="325"/>
      <c r="P37" s="243"/>
      <c r="Q37" s="243"/>
      <c r="R37" s="243"/>
      <c r="S37" s="243"/>
      <c r="T37" s="243"/>
      <c r="U37" s="243"/>
      <c r="V37" s="243"/>
      <c r="W37" s="243"/>
      <c r="X37" s="243"/>
      <c r="Y37" s="243"/>
      <c r="Z37" s="243"/>
    </row>
    <row r="38" spans="1:26" x14ac:dyDescent="0.2">
      <c r="G38" s="45"/>
      <c r="H38" s="12"/>
      <c r="I38" s="12"/>
      <c r="J38" s="314"/>
      <c r="K38" s="313">
        <f>SUM(K7:K37)</f>
        <v>0</v>
      </c>
      <c r="L38" s="313">
        <f>SUM(L7:L37)</f>
        <v>0</v>
      </c>
      <c r="M38" s="327"/>
      <c r="N38" s="329">
        <f>SUM(K7:K26)</f>
        <v>0</v>
      </c>
    </row>
    <row r="39" spans="1:26" x14ac:dyDescent="0.2">
      <c r="J39" s="314"/>
      <c r="K39" s="342" t="str">
        <f>ROUNDDOWN(K38/60,1)&amp;" t"</f>
        <v>0 t</v>
      </c>
      <c r="L39" s="96" t="s">
        <v>217</v>
      </c>
      <c r="N39" s="330" t="str">
        <f>ROUNDDOWN(N38/60,1)&amp;" t  i perioden 1."&amp;TEXT(B7,"m")&amp;"-20."&amp;TEXT(B7,"m")</f>
        <v>0 t  i perioden 1.1-20.1</v>
      </c>
    </row>
    <row r="40" spans="1:26" x14ac:dyDescent="0.2">
      <c r="B40" s="454" t="s">
        <v>141</v>
      </c>
      <c r="C40" s="455"/>
      <c r="D40" s="455"/>
      <c r="E40" s="456"/>
      <c r="F40" s="208" t="s">
        <v>48</v>
      </c>
      <c r="G40" s="209" t="s">
        <v>49</v>
      </c>
      <c r="H40" s="470" t="s">
        <v>50</v>
      </c>
      <c r="I40" s="460"/>
      <c r="J40" s="315" t="s">
        <v>19</v>
      </c>
      <c r="K40" s="92"/>
      <c r="L40" s="92"/>
    </row>
    <row r="41" spans="1:26" x14ac:dyDescent="0.2">
      <c r="B41" s="191" t="str">
        <f>J$2&amp;":"</f>
        <v>Januar:</v>
      </c>
      <c r="C41" s="1"/>
      <c r="D41" s="1"/>
      <c r="E41" s="40">
        <f>SUM(G$7:G$37)</f>
        <v>0</v>
      </c>
      <c r="F41" s="38">
        <f>TRUNC(E41/60,)</f>
        <v>0</v>
      </c>
      <c r="G41" s="50">
        <f>((E41/60)-F41)*60</f>
        <v>0</v>
      </c>
      <c r="H41" s="471"/>
      <c r="I41" s="472"/>
      <c r="J41" s="316" t="s">
        <v>145</v>
      </c>
      <c r="K41" s="92"/>
      <c r="L41" s="92"/>
    </row>
    <row r="42" spans="1:26" x14ac:dyDescent="0.2">
      <c r="B42" s="192" t="str">
        <f>"Fra "&amp;TEXT(($B$7-1),"mmmm")&amp;" "&amp;J1-1&amp;":"</f>
        <v>Fra desember 2013:</v>
      </c>
      <c r="C42" s="1"/>
      <c r="D42" s="1"/>
      <c r="E42" s="40">
        <f>Info!$F$5</f>
        <v>0</v>
      </c>
      <c r="F42" s="39">
        <f>TRUNC(E42/60,)</f>
        <v>0</v>
      </c>
      <c r="G42" s="51">
        <f>((E42/60)-F42)*60</f>
        <v>0</v>
      </c>
      <c r="H42" s="473"/>
      <c r="I42" s="474"/>
      <c r="J42" s="316" t="s">
        <v>146</v>
      </c>
      <c r="K42" s="92"/>
      <c r="L42" s="92"/>
    </row>
    <row r="43" spans="1:26" x14ac:dyDescent="0.2">
      <c r="B43" s="210" t="s">
        <v>142</v>
      </c>
      <c r="C43" s="1"/>
      <c r="D43" s="1"/>
      <c r="E43" s="193">
        <f>E41+E42</f>
        <v>0</v>
      </c>
      <c r="F43" s="80">
        <f>TRUNC(E43/60,)</f>
        <v>0</v>
      </c>
      <c r="G43" s="81">
        <f>((E43/60)-F43)*60</f>
        <v>0</v>
      </c>
      <c r="H43" s="457">
        <f>E43/Info!$D$10</f>
        <v>0</v>
      </c>
      <c r="I43" s="451"/>
      <c r="J43" s="317" t="s">
        <v>147</v>
      </c>
      <c r="K43" s="92"/>
      <c r="L43" s="92"/>
    </row>
    <row r="44" spans="1:26" x14ac:dyDescent="0.2">
      <c r="B44" s="454" t="s">
        <v>133</v>
      </c>
      <c r="C44" s="455"/>
      <c r="D44" s="455"/>
      <c r="E44" s="456"/>
      <c r="F44" s="1"/>
      <c r="G44" s="46"/>
      <c r="H44" s="461">
        <f>IF(Info!$C$47="Ja",E43/Info!$D$11,)</f>
        <v>0</v>
      </c>
      <c r="I44" s="461"/>
      <c r="J44" s="318" t="s">
        <v>40</v>
      </c>
      <c r="K44" s="92"/>
      <c r="L44" s="92"/>
    </row>
    <row r="45" spans="1:26" x14ac:dyDescent="0.2">
      <c r="B45" s="191" t="str">
        <f>J$2&amp;":"</f>
        <v>Januar:</v>
      </c>
      <c r="C45" s="194"/>
      <c r="D45" s="195"/>
      <c r="E45" s="196">
        <f>COUNTIF(C$7:C$37,"Fe*")</f>
        <v>0</v>
      </c>
      <c r="G45" s="47"/>
      <c r="H45" s="18"/>
      <c r="I45" s="18"/>
      <c r="J45" s="319"/>
      <c r="K45" s="92"/>
      <c r="L45" s="92"/>
    </row>
    <row r="46" spans="1:26" x14ac:dyDescent="0.2">
      <c r="B46" s="192" t="s">
        <v>143</v>
      </c>
      <c r="C46" s="7"/>
      <c r="D46" s="7"/>
      <c r="E46" s="197">
        <f>Info!$F$6+Info!$F$7</f>
        <v>0</v>
      </c>
      <c r="F46" s="10"/>
      <c r="G46" s="48"/>
      <c r="H46" s="19"/>
      <c r="I46" s="19"/>
      <c r="J46" s="133"/>
      <c r="K46" s="92"/>
      <c r="L46" s="92"/>
    </row>
    <row r="47" spans="1:26" x14ac:dyDescent="0.2">
      <c r="B47" s="211" t="s">
        <v>44</v>
      </c>
      <c r="C47" s="198"/>
      <c r="D47" s="198"/>
      <c r="E47" s="199">
        <f>E46-E45</f>
        <v>0</v>
      </c>
      <c r="F47" s="2"/>
      <c r="G47" s="48"/>
      <c r="H47" s="19"/>
      <c r="I47" s="19"/>
      <c r="J47" s="133"/>
      <c r="K47" s="92"/>
      <c r="L47" s="92"/>
    </row>
    <row r="48" spans="1:26" x14ac:dyDescent="0.2">
      <c r="B48" s="454" t="s">
        <v>140</v>
      </c>
      <c r="C48" s="455"/>
      <c r="D48" s="455"/>
      <c r="E48" s="456"/>
      <c r="F48" s="454" t="s">
        <v>87</v>
      </c>
      <c r="G48" s="458"/>
      <c r="H48" s="459"/>
      <c r="I48" s="460"/>
      <c r="J48" s="314"/>
      <c r="K48" s="92"/>
      <c r="L48" s="92"/>
    </row>
    <row r="49" spans="2:12" x14ac:dyDescent="0.2">
      <c r="B49" s="191" t="str">
        <f>J$2&amp;":"</f>
        <v>Januar:</v>
      </c>
      <c r="C49" s="195"/>
      <c r="D49" s="195"/>
      <c r="E49" s="200">
        <f>COUNTIF(C$7:C$37,"S*")</f>
        <v>0</v>
      </c>
      <c r="F49" s="464" t="str">
        <f>IF(E49&gt;0,"- av disse","")</f>
        <v/>
      </c>
      <c r="G49" s="465"/>
      <c r="H49" s="466" t="str">
        <f>IF(E49&gt;0,E49-COUNTIF(C$7:C$37,"s*m*"),"")</f>
        <v/>
      </c>
      <c r="I49" s="467"/>
      <c r="J49" s="314"/>
      <c r="K49" s="92"/>
      <c r="L49" s="92"/>
    </row>
    <row r="50" spans="2:12" x14ac:dyDescent="0.2">
      <c r="B50" s="211" t="str">
        <f>J$1&amp;":"</f>
        <v>2014:</v>
      </c>
      <c r="C50" s="198"/>
      <c r="D50" s="198"/>
      <c r="E50" s="201">
        <f>E49</f>
        <v>0</v>
      </c>
      <c r="F50" s="452" t="s">
        <v>148</v>
      </c>
      <c r="G50" s="453"/>
      <c r="H50" s="450">
        <f>SUM(Info!$I$5:'Info'!$I$15)+E49-COUNTIF(C$7:C$37,"s*m*")</f>
        <v>0</v>
      </c>
      <c r="I50" s="451"/>
      <c r="J50" s="314"/>
      <c r="K50" s="92"/>
      <c r="L50" s="92"/>
    </row>
    <row r="51" spans="2:12" x14ac:dyDescent="0.2">
      <c r="B51" s="454" t="s">
        <v>144</v>
      </c>
      <c r="C51" s="455"/>
      <c r="D51" s="455"/>
      <c r="E51" s="456"/>
      <c r="J51" s="314"/>
      <c r="K51" s="92"/>
      <c r="L51" s="92"/>
    </row>
    <row r="52" spans="2:12" x14ac:dyDescent="0.2">
      <c r="B52" s="202" t="str">
        <f>"Sykt barn/-passer i "&amp;LOWER(J$2)&amp;":"</f>
        <v>Sykt barn/-passer i januar:</v>
      </c>
      <c r="C52" s="28"/>
      <c r="D52" s="203"/>
      <c r="E52" s="204">
        <f>COUNTIF(C$7:C$37,"P*b*")</f>
        <v>0</v>
      </c>
      <c r="F52" s="1"/>
      <c r="G52" s="49"/>
      <c r="H52" s="19"/>
      <c r="I52" s="19"/>
      <c r="J52" s="314"/>
      <c r="K52" s="92"/>
      <c r="L52" s="92"/>
    </row>
    <row r="53" spans="2:12" x14ac:dyDescent="0.2">
      <c r="B53" s="205" t="str">
        <f>"Velferdspermisjon i "&amp;LOWER(J$2)&amp;":"</f>
        <v>Velferdspermisjon i januar:</v>
      </c>
      <c r="C53" s="1"/>
      <c r="D53" s="1"/>
      <c r="E53" s="206">
        <f>COUNTIF(C$7:C$37,"P*v*")</f>
        <v>0</v>
      </c>
      <c r="J53" s="314"/>
      <c r="K53" s="92"/>
      <c r="L53" s="92"/>
    </row>
    <row r="54" spans="2:12" x14ac:dyDescent="0.2">
      <c r="B54" s="205" t="str">
        <f>"Annen permisjon i "&amp;LOWER(J$2)&amp;":"</f>
        <v>Annen permisjon i januar:</v>
      </c>
      <c r="C54" s="1"/>
      <c r="D54" s="1"/>
      <c r="E54" s="206">
        <f>COUNTIF(C$7:C$37,"P*a*")</f>
        <v>0</v>
      </c>
      <c r="J54" s="429"/>
      <c r="K54" s="92"/>
      <c r="L54" s="92"/>
    </row>
    <row r="55" spans="2:12" x14ac:dyDescent="0.2">
      <c r="B55" s="212" t="str">
        <f>J$1&amp;":"</f>
        <v>2014:</v>
      </c>
      <c r="C55" s="31"/>
      <c r="D55" s="31"/>
      <c r="E55" s="207">
        <f>SUM(E52:E54)</f>
        <v>0</v>
      </c>
      <c r="J55" s="314" t="s">
        <v>233</v>
      </c>
      <c r="K55" s="92"/>
      <c r="L55" s="92"/>
    </row>
  </sheetData>
  <sheetProtection selectLockedCells="1"/>
  <mergeCells count="16">
    <mergeCell ref="K5:L5"/>
    <mergeCell ref="F49:G49"/>
    <mergeCell ref="H49:I49"/>
    <mergeCell ref="H5:I5"/>
    <mergeCell ref="H40:I40"/>
    <mergeCell ref="H41:I41"/>
    <mergeCell ref="H42:I42"/>
    <mergeCell ref="H50:I50"/>
    <mergeCell ref="F50:G50"/>
    <mergeCell ref="B51:E51"/>
    <mergeCell ref="B40:E40"/>
    <mergeCell ref="B44:E44"/>
    <mergeCell ref="B48:E48"/>
    <mergeCell ref="H43:I43"/>
    <mergeCell ref="F48:I48"/>
    <mergeCell ref="H44:I44"/>
  </mergeCells>
  <phoneticPr fontId="0" type="noConversion"/>
  <conditionalFormatting sqref="G8:G37">
    <cfRule type="expression" dxfId="324" priority="1" stopIfTrue="1">
      <formula>WEEKDAY($B8,2)&gt;5</formula>
    </cfRule>
  </conditionalFormatting>
  <conditionalFormatting sqref="H7:I37 C8:F37">
    <cfRule type="expression" dxfId="323" priority="2" stopIfTrue="1">
      <formula>$B7=TODAY()</formula>
    </cfRule>
    <cfRule type="expression" dxfId="322" priority="3" stopIfTrue="1">
      <formula>WEEKDAY($B7,2)&gt;5</formula>
    </cfRule>
  </conditionalFormatting>
  <conditionalFormatting sqref="J7:J37">
    <cfRule type="expression" dxfId="321" priority="4" stopIfTrue="1">
      <formula>$B7=TODAY()</formula>
    </cfRule>
    <cfRule type="expression" dxfId="320" priority="5" stopIfTrue="1">
      <formula>WEEKDAY($B7,2)&gt;5</formula>
    </cfRule>
  </conditionalFormatting>
  <conditionalFormatting sqref="A7">
    <cfRule type="expression" dxfId="319" priority="6" stopIfTrue="1">
      <formula>AND((TODAY()-WEEKDAY(TODAY(),2)+7)&gt;=B7,(TODAY()-WEEKDAY(TODAY(),2)&lt;B7))</formula>
    </cfRule>
  </conditionalFormatting>
  <conditionalFormatting sqref="A8:A37">
    <cfRule type="expression" dxfId="318" priority="7" stopIfTrue="1">
      <formula>(TODAY()-WEEKDAY(TODAY(),2)+1)=B8</formula>
    </cfRule>
  </conditionalFormatting>
  <conditionalFormatting sqref="G6">
    <cfRule type="expression" dxfId="317" priority="8" stopIfTrue="1">
      <formula>AND(H43&gt;-0.99,H43&lt;-0.01)</formula>
    </cfRule>
    <cfRule type="expression" dxfId="316" priority="9" stopIfTrue="1">
      <formula>H43&lt;=-2</formula>
    </cfRule>
    <cfRule type="expression" dxfId="315" priority="10" stopIfTrue="1">
      <formula>AND(H43&gt;-1.99,H43&lt;-1)</formula>
    </cfRule>
  </conditionalFormatting>
  <conditionalFormatting sqref="H50">
    <cfRule type="cellIs" dxfId="314" priority="11" stopIfTrue="1" operator="greaterThan">
      <formula>22</formula>
    </cfRule>
  </conditionalFormatting>
  <conditionalFormatting sqref="H43">
    <cfRule type="cellIs" dxfId="313" priority="12" stopIfTrue="1" operator="between">
      <formula>-0.4</formula>
      <formula>-0.9999999</formula>
    </cfRule>
    <cfRule type="cellIs" dxfId="312" priority="13" stopIfTrue="1" operator="lessThanOrEqual">
      <formula>-2</formula>
    </cfRule>
    <cfRule type="cellIs" dxfId="311" priority="14" stopIfTrue="1" operator="between">
      <formula>-1</formula>
      <formula>-1.99999999</formula>
    </cfRule>
  </conditionalFormatting>
  <conditionalFormatting sqref="B7">
    <cfRule type="expression" dxfId="310" priority="15" stopIfTrue="1">
      <formula>B7=TODAY()</formula>
    </cfRule>
  </conditionalFormatting>
  <conditionalFormatting sqref="B8:B37">
    <cfRule type="expression" dxfId="309" priority="16" stopIfTrue="1">
      <formula>AND(B8=TODAY(),WEEKDAY(B8,2)&gt;5)</formula>
    </cfRule>
    <cfRule type="expression" dxfId="308" priority="17" stopIfTrue="1">
      <formula>B8=TODAY()</formula>
    </cfRule>
    <cfRule type="expression" dxfId="307" priority="18" stopIfTrue="1">
      <formula>WEEKDAY(B8,2)&gt;5</formula>
    </cfRule>
  </conditionalFormatting>
  <conditionalFormatting sqref="N2:N6">
    <cfRule type="expression" dxfId="306" priority="37" stopIfTrue="1">
      <formula>MONTH($B$7)=MONTH(TODAY())</formula>
    </cfRule>
  </conditionalFormatting>
  <conditionalFormatting sqref="K39">
    <cfRule type="expression" dxfId="305" priority="38" stopIfTrue="1">
      <formula>K38&lt;=0</formula>
    </cfRule>
  </conditionalFormatting>
  <conditionalFormatting sqref="N39">
    <cfRule type="expression" dxfId="304" priority="39" stopIfTrue="1">
      <formula>OR(K38&lt;=0,SUM(K7:K26)&lt;=0)</formula>
    </cfRule>
  </conditionalFormatting>
  <conditionalFormatting sqref="L39">
    <cfRule type="expression" dxfId="303" priority="40" stopIfTrue="1">
      <formula>OR(K38&lt;=0,SUM(K7:K26)&lt;=0)</formula>
    </cfRule>
  </conditionalFormatting>
  <conditionalFormatting sqref="K8:L37">
    <cfRule type="expression" dxfId="302" priority="41" stopIfTrue="1">
      <formula>$B8=TODAY()</formula>
    </cfRule>
    <cfRule type="expression" dxfId="301" priority="42" stopIfTrue="1">
      <formula>WEEKDAY($B8,2)&gt;5</formula>
    </cfRule>
  </conditionalFormatting>
  <conditionalFormatting sqref="K7:L7">
    <cfRule type="expression" dxfId="300" priority="43" stopIfTrue="1">
      <formula>$B7=TODAY()</formula>
    </cfRule>
    <cfRule type="expression" dxfId="299" priority="44" stopIfTrue="1">
      <formula>WEEKDAY($B7,2)&gt;5</formula>
    </cfRule>
  </conditionalFormatting>
  <conditionalFormatting sqref="K38:L38">
    <cfRule type="cellIs" dxfId="298" priority="45" stopIfTrue="1" operator="lessThanOrEqual">
      <formula>0</formula>
    </cfRule>
  </conditionalFormatting>
  <pageMargins left="0.78740157480314965" right="0.19685039370078741" top="0.78740157480314965" bottom="0.98425196850393704" header="0.51181102362204722" footer="0.51181102362204722"/>
  <pageSetup paperSize="9" orientation="portrait" r:id="rId1"/>
  <headerFooter alignWithMargins="0">
    <oddFooter>&amp;R&amp;7ghe&amp;G 2011</oddFooter>
  </headerFooter>
  <ignoredErrors>
    <ignoredError sqref="H36:H37 H10:H35 J7:J37 H7:H9 L38" unlockedFormula="1"/>
    <ignoredError sqref="K38 N38" formulaRange="1" unlockedFormula="1"/>
  </ignoredErrors>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4" enableFormatConditionsCalculation="0">
    <tabColor indexed="41"/>
  </sheetPr>
  <dimension ref="A1:Z55"/>
  <sheetViews>
    <sheetView showGridLines="0" workbookViewId="0">
      <pane ySplit="6" topLeftCell="A7" activePane="bottomLeft" state="frozenSplit"/>
      <selection pane="bottomLeft" activeCell="C7" sqref="C7"/>
    </sheetView>
  </sheetViews>
  <sheetFormatPr baseColWidth="10" defaultColWidth="9.140625" defaultRowHeight="12.75" x14ac:dyDescent="0.2"/>
  <cols>
    <col min="1" max="1" width="2.5703125" style="26" customWidth="1"/>
    <col min="2" max="2" width="7.5703125" customWidth="1"/>
    <col min="3" max="5" width="9.140625" customWidth="1"/>
    <col min="6" max="6" width="8.5703125" customWidth="1"/>
    <col min="7" max="7" width="7.140625" style="41" customWidth="1"/>
    <col min="8" max="8" width="5" style="8" customWidth="1"/>
    <col min="9" max="9" width="3.42578125" style="8" customWidth="1"/>
    <col min="10" max="10" width="31.42578125" style="10" customWidth="1"/>
    <col min="11" max="12" width="4.7109375" customWidth="1"/>
    <col min="13" max="13" width="1.85546875" style="92" customWidth="1"/>
    <col min="14" max="14" width="20.28515625" style="92" customWidth="1"/>
    <col min="15" max="15" width="2.42578125" customWidth="1"/>
    <col min="16" max="16" width="8.7109375" style="244" customWidth="1"/>
    <col min="17" max="26" width="9.140625" style="244"/>
  </cols>
  <sheetData>
    <row r="1" spans="1:26" s="92" customFormat="1" x14ac:dyDescent="0.2">
      <c r="A1" s="133"/>
      <c r="G1" s="347"/>
      <c r="H1" s="348"/>
      <c r="I1" s="348"/>
      <c r="J1" s="349">
        <f>Info!$E$1</f>
        <v>2014</v>
      </c>
    </row>
    <row r="2" spans="1:26" s="92" customFormat="1" ht="23.25" x14ac:dyDescent="0.35">
      <c r="A2" s="133"/>
      <c r="B2" s="414"/>
      <c r="C2" s="414"/>
      <c r="D2" s="415"/>
      <c r="E2" s="415"/>
      <c r="F2" s="416" t="str">
        <f>Info!C41</f>
        <v>Fleksitid</v>
      </c>
      <c r="G2" s="417"/>
      <c r="H2" s="418"/>
      <c r="I2" s="418"/>
      <c r="J2" s="419" t="s">
        <v>11</v>
      </c>
      <c r="N2" s="325"/>
    </row>
    <row r="3" spans="1:26" s="92" customFormat="1" ht="17.25" customHeight="1" x14ac:dyDescent="0.2">
      <c r="A3" s="133"/>
      <c r="B3" s="356"/>
      <c r="C3" s="357"/>
      <c r="D3" s="358"/>
      <c r="E3" s="359"/>
      <c r="F3" s="360">
        <f>Info!$C$5</f>
        <v>0</v>
      </c>
      <c r="G3" s="361"/>
      <c r="H3" s="362"/>
      <c r="I3" s="362"/>
      <c r="J3" s="314"/>
      <c r="N3" s="325"/>
    </row>
    <row r="4" spans="1:26" s="92" customFormat="1" ht="15" customHeight="1" thickBot="1" x14ac:dyDescent="0.25">
      <c r="A4" s="133"/>
      <c r="B4" s="363"/>
      <c r="C4" s="364"/>
      <c r="D4" s="365"/>
      <c r="E4" s="366"/>
      <c r="F4" s="367">
        <f>Info!$C$6</f>
        <v>0</v>
      </c>
      <c r="G4" s="368"/>
      <c r="H4" s="366"/>
      <c r="I4" s="366"/>
      <c r="J4" s="365"/>
      <c r="N4" s="325"/>
    </row>
    <row r="5" spans="1:26" x14ac:dyDescent="0.2">
      <c r="B5" s="3"/>
      <c r="C5" s="4" t="s">
        <v>0</v>
      </c>
      <c r="D5" s="4"/>
      <c r="E5" s="4" t="s">
        <v>1</v>
      </c>
      <c r="F5" s="4"/>
      <c r="G5" s="42"/>
      <c r="H5" s="468" t="s">
        <v>208</v>
      </c>
      <c r="I5" s="469"/>
      <c r="J5" s="9" t="s">
        <v>6</v>
      </c>
      <c r="K5" s="462" t="s">
        <v>216</v>
      </c>
      <c r="L5" s="463"/>
      <c r="M5" s="326"/>
      <c r="N5" s="325"/>
    </row>
    <row r="6" spans="1:26" ht="13.5" thickBot="1" x14ac:dyDescent="0.25">
      <c r="B6" s="5" t="s">
        <v>2</v>
      </c>
      <c r="C6" s="6" t="s">
        <v>3</v>
      </c>
      <c r="D6" s="6" t="s">
        <v>4</v>
      </c>
      <c r="E6" s="6" t="s">
        <v>3</v>
      </c>
      <c r="F6" s="6" t="s">
        <v>4</v>
      </c>
      <c r="G6" s="188" t="s">
        <v>139</v>
      </c>
      <c r="H6" s="6" t="s">
        <v>4</v>
      </c>
      <c r="I6" s="308" t="s">
        <v>207</v>
      </c>
      <c r="J6" s="172" t="str">
        <f>"Fleksi"&amp;IF(E41&lt;Info!D10,"tid: "&amp;IF(E41&lt;0,"-","")&amp;ABS(F41)&amp;":"&amp;ABS(ROUND(G41,)),"dager: "&amp;ROUND(H$41,1))&amp;"   Ferie: "&amp;E$45</f>
        <v>Fleksitid: 0:0   Ferie: 0</v>
      </c>
      <c r="K6" s="320" t="s">
        <v>4</v>
      </c>
      <c r="L6" s="322" t="s">
        <v>215</v>
      </c>
      <c r="M6" s="133"/>
      <c r="N6" s="325"/>
    </row>
    <row r="7" spans="1:26" s="11" customFormat="1" x14ac:dyDescent="0.2">
      <c r="A7" s="148" t="str">
        <f>IF(WEEKDAY(B7,2)&lt;6,INT((B7-(DATE(YEAR(B7+(MOD(8-WEEKDAY(B7),7)-3)),1,1))-3+
MOD(WEEKDAY(DATE(YEAR(B7+(MOD(8-WEEKDAY(B7),7)-3)),1,1))+1,7))/7)+1,"")</f>
        <v/>
      </c>
      <c r="B7" s="68">
        <f>DATE(Info!$E$1,2,1)</f>
        <v>41671</v>
      </c>
      <c r="C7" s="59"/>
      <c r="D7" s="59"/>
      <c r="E7" s="59"/>
      <c r="F7" s="59"/>
      <c r="G7" s="44" t="str">
        <f>IF(AND(WEEKDAY(B7,2)&gt;5,$C7=""),"",IF(E7&gt;0,(E7*60+F7)-(C7*60+D7)-H7+TRUNC(Info!$D$10*(I7/100)),IF(MID(C7,1,2)="Fl",0,Info!$D$10))-Info!$D$10)</f>
        <v/>
      </c>
      <c r="H7" s="185">
        <f>IF(AND(Info!$C$46&gt;0,$E7&gt;$C7),Info!$C$46,)</f>
        <v>0</v>
      </c>
      <c r="I7" s="185"/>
      <c r="J7" s="175" t="str">
        <f>" "&amp;Info!AC7</f>
        <v xml:space="preserve"> </v>
      </c>
      <c r="K7" s="323"/>
      <c r="L7" s="338"/>
      <c r="M7" s="327"/>
      <c r="N7" s="92"/>
      <c r="O7"/>
      <c r="P7" s="244"/>
      <c r="Q7" s="244"/>
      <c r="R7" s="243"/>
      <c r="S7" s="243"/>
      <c r="T7" s="243"/>
      <c r="U7" s="243"/>
      <c r="V7" s="243"/>
      <c r="W7" s="243"/>
      <c r="X7" s="243"/>
      <c r="Y7" s="243"/>
      <c r="Z7" s="243"/>
    </row>
    <row r="8" spans="1:26" s="11" customFormat="1" x14ac:dyDescent="0.2">
      <c r="A8" s="148" t="str">
        <f t="shared" ref="A8:A34" si="0">IF(WEEKDAY(B8,2)=1,INT((B8-(DATE(YEAR(B8+(MOD(8-WEEKDAY(B8),7)-3)),1,1))-3+
MOD(WEEKDAY(DATE(YEAR(B8+(MOD(8-WEEKDAY(B8),7)-3)),1,1))+1,7))/7)+1,"")</f>
        <v/>
      </c>
      <c r="B8" s="68">
        <f t="shared" ref="B8:B34" si="1">B7+1</f>
        <v>41672</v>
      </c>
      <c r="C8" s="59"/>
      <c r="D8" s="59"/>
      <c r="E8" s="59"/>
      <c r="F8" s="59"/>
      <c r="G8" s="44" t="str">
        <f>IF(AND(WEEKDAY(B8,2)&gt;5,$C8=""),"",IF(E8&gt;0,(E8*60+F8)-(C8*60+D8)-H8+TRUNC(Info!$D$10*(I8/100)),IF(MID(C8,1,2)="Fl",0,Info!$D$10))-Info!$D$10)</f>
        <v/>
      </c>
      <c r="H8" s="185">
        <f>IF(AND(Info!$C$46&gt;0,$E8&gt;$C8),Info!$C$46,)</f>
        <v>0</v>
      </c>
      <c r="I8" s="185"/>
      <c r="J8" s="175" t="str">
        <f>" "&amp;Info!AC8</f>
        <v xml:space="preserve"> </v>
      </c>
      <c r="K8" s="323"/>
      <c r="L8" s="338"/>
      <c r="M8" s="327"/>
      <c r="N8" s="92"/>
      <c r="O8"/>
      <c r="P8" s="244"/>
      <c r="Q8" s="244"/>
      <c r="R8" s="243"/>
      <c r="S8" s="243"/>
      <c r="T8" s="243"/>
      <c r="U8" s="243"/>
      <c r="V8" s="243"/>
      <c r="W8" s="243"/>
      <c r="X8" s="243"/>
      <c r="Y8" s="243"/>
      <c r="Z8" s="243"/>
    </row>
    <row r="9" spans="1:26" s="11" customFormat="1" x14ac:dyDescent="0.2">
      <c r="A9" s="148">
        <f t="shared" si="0"/>
        <v>6</v>
      </c>
      <c r="B9" s="68">
        <f t="shared" si="1"/>
        <v>41673</v>
      </c>
      <c r="C9" s="59"/>
      <c r="D9" s="59"/>
      <c r="E9" s="59"/>
      <c r="F9" s="59"/>
      <c r="G9" s="44">
        <f>IF(AND(WEEKDAY(B9,2)&gt;5,$C9=""),"",IF(E9&gt;0,(E9*60+F9)-(C9*60+D9)-H9+TRUNC(Info!$D$10*(I9/100)),IF(MID(C9,1,2)="Fl",0,Info!$D$10))-Info!$D$10)</f>
        <v>0</v>
      </c>
      <c r="H9" s="185">
        <f>IF(AND(Info!$C$46&gt;0,$E9&gt;$C9),Info!$C$46,)</f>
        <v>0</v>
      </c>
      <c r="I9" s="185"/>
      <c r="J9" s="175" t="str">
        <f>" "&amp;Info!AC9</f>
        <v xml:space="preserve"> </v>
      </c>
      <c r="K9" s="323"/>
      <c r="L9" s="338"/>
      <c r="M9" s="327"/>
      <c r="N9" s="92"/>
      <c r="O9"/>
      <c r="P9" s="244"/>
      <c r="Q9" s="244"/>
      <c r="R9" s="243"/>
      <c r="S9" s="243"/>
      <c r="T9" s="243"/>
      <c r="U9" s="243"/>
      <c r="V9" s="243"/>
      <c r="W9" s="243"/>
      <c r="X9" s="243"/>
      <c r="Y9" s="243"/>
      <c r="Z9" s="243"/>
    </row>
    <row r="10" spans="1:26" s="11" customFormat="1" x14ac:dyDescent="0.2">
      <c r="A10" s="148" t="str">
        <f t="shared" si="0"/>
        <v/>
      </c>
      <c r="B10" s="68">
        <f t="shared" si="1"/>
        <v>41674</v>
      </c>
      <c r="C10" s="59"/>
      <c r="D10" s="59"/>
      <c r="E10" s="59"/>
      <c r="F10" s="59"/>
      <c r="G10" s="44">
        <f>IF(AND(WEEKDAY(B10,2)&gt;5,$C10=""),"",IF(E10&gt;0,(E10*60+F10)-(C10*60+D10)-H10+TRUNC(Info!$D$10*(I10/100)),IF(MID(C10,1,2)="Fl",0,Info!$D$10))-Info!$D$10)</f>
        <v>0</v>
      </c>
      <c r="H10" s="185">
        <f>IF(AND(Info!$C$46&gt;0,$E10&gt;$C10),Info!$C$46,)</f>
        <v>0</v>
      </c>
      <c r="I10" s="185"/>
      <c r="J10" s="175" t="str">
        <f>" "&amp;Info!AC10</f>
        <v xml:space="preserve"> </v>
      </c>
      <c r="K10" s="323"/>
      <c r="L10" s="338"/>
      <c r="M10" s="327"/>
      <c r="N10" s="92"/>
      <c r="O10"/>
      <c r="P10" s="244"/>
      <c r="Q10" s="244"/>
      <c r="R10" s="243"/>
      <c r="S10" s="243"/>
      <c r="T10" s="243"/>
      <c r="U10" s="243"/>
      <c r="V10" s="243"/>
      <c r="W10" s="243"/>
      <c r="X10" s="243"/>
      <c r="Y10" s="243"/>
      <c r="Z10" s="243"/>
    </row>
    <row r="11" spans="1:26" s="11" customFormat="1" x14ac:dyDescent="0.2">
      <c r="A11" s="148" t="str">
        <f t="shared" si="0"/>
        <v/>
      </c>
      <c r="B11" s="68">
        <f t="shared" si="1"/>
        <v>41675</v>
      </c>
      <c r="C11" s="59"/>
      <c r="D11" s="59"/>
      <c r="E11" s="59"/>
      <c r="F11" s="59"/>
      <c r="G11" s="44">
        <f>IF(AND(WEEKDAY(B11,2)&gt;5,$C11=""),"",IF(E11&gt;0,(E11*60+F11)-(C11*60+D11)-H11+TRUNC(Info!$D$10*(I11/100)),IF(MID(C11,1,2)="Fl",0,Info!$D$10))-Info!$D$10)</f>
        <v>0</v>
      </c>
      <c r="H11" s="185">
        <f>IF(AND(Info!$C$46&gt;0,$E11&gt;$C11),Info!$C$46,)</f>
        <v>0</v>
      </c>
      <c r="I11" s="185"/>
      <c r="J11" s="175" t="str">
        <f>" "&amp;Info!AC11</f>
        <v xml:space="preserve"> </v>
      </c>
      <c r="K11" s="323"/>
      <c r="L11" s="338"/>
      <c r="M11" s="328"/>
      <c r="N11" s="92"/>
      <c r="O11"/>
      <c r="P11" s="244"/>
      <c r="Q11" s="244"/>
      <c r="R11" s="243"/>
      <c r="S11" s="243"/>
      <c r="T11" s="243"/>
      <c r="U11" s="243"/>
      <c r="V11" s="243"/>
      <c r="W11" s="243"/>
      <c r="X11" s="243"/>
      <c r="Y11" s="243"/>
      <c r="Z11" s="243"/>
    </row>
    <row r="12" spans="1:26" x14ac:dyDescent="0.2">
      <c r="A12" s="148" t="str">
        <f t="shared" si="0"/>
        <v/>
      </c>
      <c r="B12" s="68">
        <f t="shared" si="1"/>
        <v>41676</v>
      </c>
      <c r="C12" s="59"/>
      <c r="D12" s="59"/>
      <c r="E12" s="59"/>
      <c r="F12" s="59"/>
      <c r="G12" s="44">
        <f>IF(AND(WEEKDAY(B12,2)&gt;5,$C12=""),"",IF(E12&gt;0,(E12*60+F12)-(C12*60+D12)-H12+TRUNC(Info!$D$10*(I12/100)),IF(MID(C12,1,2)="Fl",0,Info!$D$10))-Info!$D$10)</f>
        <v>0</v>
      </c>
      <c r="H12" s="185">
        <f>IF(AND(Info!$C$46&gt;0,$E12&gt;$C12),Info!$C$46,)</f>
        <v>0</v>
      </c>
      <c r="I12" s="185"/>
      <c r="J12" s="175" t="str">
        <f>" "&amp;Info!AC12</f>
        <v xml:space="preserve"> Samenes nasjonaldag</v>
      </c>
      <c r="K12" s="323"/>
      <c r="L12" s="338"/>
      <c r="M12" s="140"/>
    </row>
    <row r="13" spans="1:26" s="11" customFormat="1" x14ac:dyDescent="0.2">
      <c r="A13" s="148" t="str">
        <f t="shared" si="0"/>
        <v/>
      </c>
      <c r="B13" s="68">
        <f t="shared" si="1"/>
        <v>41677</v>
      </c>
      <c r="C13" s="59"/>
      <c r="D13" s="59"/>
      <c r="E13" s="59"/>
      <c r="F13" s="59"/>
      <c r="G13" s="44">
        <f>IF(AND(WEEKDAY(B13,2)&gt;5,$C13=""),"",IF(E13&gt;0,(E13*60+F13)-(C13*60+D13)-H13+TRUNC(Info!$D$10*(I13/100)),IF(MID(C13,1,2)="Fl",0,Info!$D$10))-Info!$D$10)</f>
        <v>0</v>
      </c>
      <c r="H13" s="185">
        <f>IF(AND(Info!$C$46&gt;0,$E13&gt;$C13),Info!$C$46,)</f>
        <v>0</v>
      </c>
      <c r="I13" s="185"/>
      <c r="J13" s="175" t="str">
        <f>" "&amp;Info!AC13</f>
        <v xml:space="preserve"> </v>
      </c>
      <c r="K13" s="323"/>
      <c r="L13" s="338"/>
      <c r="M13" s="327"/>
      <c r="N13" s="92"/>
      <c r="O13"/>
      <c r="P13" s="244"/>
      <c r="Q13" s="244"/>
      <c r="R13" s="243"/>
      <c r="S13" s="243"/>
      <c r="T13" s="243"/>
      <c r="U13" s="243"/>
      <c r="V13" s="243"/>
      <c r="W13" s="243"/>
      <c r="X13" s="243"/>
      <c r="Y13" s="243"/>
      <c r="Z13" s="243"/>
    </row>
    <row r="14" spans="1:26" s="11" customFormat="1" x14ac:dyDescent="0.2">
      <c r="A14" s="148" t="str">
        <f t="shared" si="0"/>
        <v/>
      </c>
      <c r="B14" s="68">
        <f t="shared" si="1"/>
        <v>41678</v>
      </c>
      <c r="C14" s="59"/>
      <c r="D14" s="59"/>
      <c r="E14" s="59"/>
      <c r="F14" s="59"/>
      <c r="G14" s="44" t="str">
        <f>IF(AND(WEEKDAY(B14,2)&gt;5,$C14=""),"",IF(E14&gt;0,(E14*60+F14)-(C14*60+D14)-H14+TRUNC(Info!$D$10*(I14/100)),IF(MID(C14,1,2)="Fl",0,Info!$D$10))-Info!$D$10)</f>
        <v/>
      </c>
      <c r="H14" s="185">
        <f>IF(AND(Info!$C$46&gt;0,$E14&gt;$C14),Info!$C$46,)</f>
        <v>0</v>
      </c>
      <c r="I14" s="185"/>
      <c r="J14" s="175" t="str">
        <f>" "&amp;Info!AC14</f>
        <v xml:space="preserve"> </v>
      </c>
      <c r="K14" s="323"/>
      <c r="L14" s="338"/>
      <c r="M14" s="327"/>
      <c r="N14" s="92"/>
      <c r="O14"/>
      <c r="P14" s="244"/>
      <c r="Q14" s="244"/>
      <c r="R14" s="243"/>
      <c r="S14" s="243"/>
      <c r="T14" s="243"/>
      <c r="U14" s="243"/>
      <c r="V14" s="243"/>
      <c r="W14" s="243"/>
      <c r="X14" s="243"/>
      <c r="Y14" s="243"/>
      <c r="Z14" s="243"/>
    </row>
    <row r="15" spans="1:26" s="11" customFormat="1" x14ac:dyDescent="0.2">
      <c r="A15" s="148" t="str">
        <f t="shared" si="0"/>
        <v/>
      </c>
      <c r="B15" s="68">
        <f t="shared" si="1"/>
        <v>41679</v>
      </c>
      <c r="C15" s="59"/>
      <c r="D15" s="59"/>
      <c r="E15" s="59"/>
      <c r="F15" s="59"/>
      <c r="G15" s="44" t="str">
        <f>IF(AND(WEEKDAY(B15,2)&gt;5,$C15=""),"",IF(E15&gt;0,(E15*60+F15)-(C15*60+D15)-H15+TRUNC(Info!$D$10*(I15/100)),IF(MID(C15,1,2)="Fl",0,Info!$D$10))-Info!$D$10)</f>
        <v/>
      </c>
      <c r="H15" s="185">
        <f>IF(AND(Info!$C$46&gt;0,$E15&gt;$C15),Info!$C$46,)</f>
        <v>0</v>
      </c>
      <c r="I15" s="185"/>
      <c r="J15" s="175" t="str">
        <f>" "&amp;Info!AC15</f>
        <v xml:space="preserve"> Morsdag</v>
      </c>
      <c r="K15" s="323"/>
      <c r="L15" s="338"/>
      <c r="M15" s="327"/>
      <c r="N15" s="92"/>
      <c r="O15"/>
      <c r="P15" s="244"/>
      <c r="Q15" s="244"/>
      <c r="R15" s="243"/>
      <c r="S15" s="243"/>
      <c r="T15" s="243"/>
      <c r="U15" s="243"/>
      <c r="V15" s="243"/>
      <c r="W15" s="243"/>
      <c r="X15" s="243"/>
      <c r="Y15" s="243"/>
      <c r="Z15" s="243"/>
    </row>
    <row r="16" spans="1:26" s="11" customFormat="1" x14ac:dyDescent="0.2">
      <c r="A16" s="148">
        <f t="shared" si="0"/>
        <v>7</v>
      </c>
      <c r="B16" s="68">
        <f t="shared" si="1"/>
        <v>41680</v>
      </c>
      <c r="C16" s="59"/>
      <c r="D16" s="59"/>
      <c r="E16" s="59"/>
      <c r="F16" s="59"/>
      <c r="G16" s="44">
        <f>IF(AND(WEEKDAY(B16,2)&gt;5,$C16=""),"",IF(E16&gt;0,(E16*60+F16)-(C16*60+D16)-H16+TRUNC(Info!$D$10*(I16/100)),IF(MID(C16,1,2)="Fl",0,Info!$D$10))-Info!$D$10)</f>
        <v>0</v>
      </c>
      <c r="H16" s="185">
        <f>IF(AND(Info!$C$46&gt;0,$E16&gt;$C16),Info!$C$46,)</f>
        <v>0</v>
      </c>
      <c r="I16" s="185"/>
      <c r="J16" s="175" t="str">
        <f>" "&amp;Info!AC16</f>
        <v xml:space="preserve"> </v>
      </c>
      <c r="K16" s="323"/>
      <c r="L16" s="338"/>
      <c r="M16" s="327"/>
      <c r="N16" s="92"/>
      <c r="O16"/>
      <c r="P16" s="244"/>
      <c r="Q16" s="244"/>
      <c r="R16" s="243"/>
      <c r="S16" s="243"/>
      <c r="T16" s="243"/>
      <c r="U16" s="243"/>
      <c r="V16" s="243"/>
      <c r="W16" s="243"/>
      <c r="X16" s="243"/>
      <c r="Y16" s="243"/>
      <c r="Z16" s="243"/>
    </row>
    <row r="17" spans="1:26" s="11" customFormat="1" x14ac:dyDescent="0.2">
      <c r="A17" s="148" t="str">
        <f t="shared" si="0"/>
        <v/>
      </c>
      <c r="B17" s="68">
        <f t="shared" si="1"/>
        <v>41681</v>
      </c>
      <c r="C17" s="59"/>
      <c r="D17" s="59"/>
      <c r="E17" s="59"/>
      <c r="F17" s="59"/>
      <c r="G17" s="44">
        <f>IF(AND(WEEKDAY(B17,2)&gt;5,$C17=""),"",IF(E17&gt;0,(E17*60+F17)-(C17*60+D17)-H17+TRUNC(Info!$D$10*(I17/100)),IF(MID(C17,1,2)="Fl",0,Info!$D$10))-Info!$D$10)</f>
        <v>0</v>
      </c>
      <c r="H17" s="185">
        <f>IF(AND(Info!$C$46&gt;0,$E17&gt;$C17),Info!$C$46,)</f>
        <v>0</v>
      </c>
      <c r="I17" s="185"/>
      <c r="J17" s="175" t="str">
        <f>" "&amp;Info!AC17</f>
        <v xml:space="preserve"> </v>
      </c>
      <c r="K17" s="323"/>
      <c r="L17" s="338"/>
      <c r="M17" s="327"/>
      <c r="N17" s="92"/>
      <c r="O17"/>
      <c r="P17" s="244"/>
      <c r="Q17" s="244"/>
      <c r="R17" s="243"/>
      <c r="S17" s="243"/>
      <c r="T17" s="243"/>
      <c r="U17" s="243"/>
      <c r="V17" s="243"/>
      <c r="W17" s="243"/>
      <c r="X17" s="243"/>
      <c r="Y17" s="243"/>
      <c r="Z17" s="243"/>
    </row>
    <row r="18" spans="1:26" s="11" customFormat="1" x14ac:dyDescent="0.2">
      <c r="A18" s="148" t="str">
        <f t="shared" si="0"/>
        <v/>
      </c>
      <c r="B18" s="68">
        <f t="shared" si="1"/>
        <v>41682</v>
      </c>
      <c r="C18" s="59"/>
      <c r="D18" s="59"/>
      <c r="E18" s="59"/>
      <c r="F18" s="59"/>
      <c r="G18" s="44">
        <f>IF(AND(WEEKDAY(B18,2)&gt;5,$C18=""),"",IF(E18&gt;0,(E18*60+F18)-(C18*60+D18)-H18+TRUNC(Info!$D$10*(I18/100)),IF(MID(C18,1,2)="Fl",0,Info!$D$10))-Info!$D$10)</f>
        <v>0</v>
      </c>
      <c r="H18" s="185">
        <f>IF(AND(Info!$C$46&gt;0,$E18&gt;$C18),Info!$C$46,)</f>
        <v>0</v>
      </c>
      <c r="I18" s="185"/>
      <c r="J18" s="175" t="str">
        <f>" "&amp;Info!AC18</f>
        <v xml:space="preserve"> </v>
      </c>
      <c r="K18" s="323"/>
      <c r="L18" s="338"/>
      <c r="M18" s="327"/>
      <c r="N18" s="92"/>
      <c r="O18"/>
      <c r="P18" s="244"/>
      <c r="Q18" s="244"/>
      <c r="R18" s="243"/>
      <c r="S18" s="243"/>
      <c r="T18" s="243"/>
      <c r="U18" s="243"/>
      <c r="V18" s="243"/>
      <c r="W18" s="243"/>
      <c r="X18" s="243"/>
      <c r="Y18" s="243"/>
      <c r="Z18" s="243"/>
    </row>
    <row r="19" spans="1:26" s="11" customFormat="1" x14ac:dyDescent="0.2">
      <c r="A19" s="148" t="str">
        <f t="shared" si="0"/>
        <v/>
      </c>
      <c r="B19" s="68">
        <f t="shared" si="1"/>
        <v>41683</v>
      </c>
      <c r="C19" s="59"/>
      <c r="D19" s="59"/>
      <c r="E19" s="59"/>
      <c r="F19" s="59"/>
      <c r="G19" s="44">
        <f>IF(AND(WEEKDAY(B19,2)&gt;5,$C19=""),"",IF(E19&gt;0,(E19*60+F19)-(C19*60+D19)-H19+TRUNC(Info!$D$10*(I19/100)),IF(MID(C19,1,2)="Fl",0,Info!$D$10))-Info!$D$10)</f>
        <v>0</v>
      </c>
      <c r="H19" s="185">
        <f>IF(AND(Info!$C$46&gt;0,$E19&gt;$C19),Info!$C$46,)</f>
        <v>0</v>
      </c>
      <c r="I19" s="185"/>
      <c r="J19" s="175" t="str">
        <f>" "&amp;Info!AC19</f>
        <v xml:space="preserve"> </v>
      </c>
      <c r="K19" s="323"/>
      <c r="L19" s="338"/>
      <c r="M19" s="327"/>
      <c r="N19" s="92"/>
      <c r="O19"/>
      <c r="P19" s="244"/>
      <c r="Q19" s="244"/>
      <c r="R19" s="243"/>
      <c r="S19" s="243"/>
      <c r="T19" s="243"/>
      <c r="U19" s="243"/>
      <c r="V19" s="243"/>
      <c r="W19" s="243"/>
      <c r="X19" s="243"/>
      <c r="Y19" s="243"/>
      <c r="Z19" s="243"/>
    </row>
    <row r="20" spans="1:26" s="11" customFormat="1" x14ac:dyDescent="0.2">
      <c r="A20" s="148" t="str">
        <f t="shared" si="0"/>
        <v/>
      </c>
      <c r="B20" s="68">
        <f t="shared" si="1"/>
        <v>41684</v>
      </c>
      <c r="C20" s="59"/>
      <c r="D20" s="59"/>
      <c r="E20" s="59"/>
      <c r="F20" s="59"/>
      <c r="G20" s="44">
        <f>IF(AND(WEEKDAY(B20,2)&gt;5,$C20=""),"",IF(E20&gt;0,(E20*60+F20)-(C20*60+D20)-H20+TRUNC(Info!$D$10*(I20/100)),IF(MID(C20,1,2)="Fl",0,Info!$D$10))-Info!$D$10)</f>
        <v>0</v>
      </c>
      <c r="H20" s="185">
        <f>IF(AND(Info!$C$46&gt;0,$E20&gt;$C20),Info!$C$46,)</f>
        <v>0</v>
      </c>
      <c r="I20" s="185"/>
      <c r="J20" s="175" t="str">
        <f>" "&amp;Info!AC20</f>
        <v xml:space="preserve"> St.Valentin</v>
      </c>
      <c r="K20" s="323"/>
      <c r="L20" s="338"/>
      <c r="M20" s="327"/>
      <c r="N20" s="92"/>
      <c r="O20"/>
      <c r="P20" s="244"/>
      <c r="Q20" s="244"/>
      <c r="R20" s="243"/>
      <c r="S20" s="243"/>
      <c r="T20" s="243"/>
      <c r="U20" s="243"/>
      <c r="V20" s="243"/>
      <c r="W20" s="243"/>
      <c r="X20" s="243"/>
      <c r="Y20" s="243"/>
      <c r="Z20" s="243"/>
    </row>
    <row r="21" spans="1:26" s="11" customFormat="1" x14ac:dyDescent="0.2">
      <c r="A21" s="148" t="str">
        <f t="shared" si="0"/>
        <v/>
      </c>
      <c r="B21" s="68">
        <f t="shared" si="1"/>
        <v>41685</v>
      </c>
      <c r="C21" s="59"/>
      <c r="D21" s="59"/>
      <c r="E21" s="59"/>
      <c r="F21" s="59"/>
      <c r="G21" s="44" t="str">
        <f>IF(AND(WEEKDAY(B21,2)&gt;5,$C21=""),"",IF(E21&gt;0,(E21*60+F21)-(C21*60+D21)-H21+TRUNC(Info!$D$10*(I21/100)),IF(MID(C21,1,2)="Fl",0,Info!$D$10))-Info!$D$10)</f>
        <v/>
      </c>
      <c r="H21" s="185">
        <f>IF(AND(Info!$C$46&gt;0,$E21&gt;$C21),Info!$C$46,)</f>
        <v>0</v>
      </c>
      <c r="I21" s="185"/>
      <c r="J21" s="175" t="str">
        <f>" "&amp;Info!AC21</f>
        <v xml:space="preserve"> </v>
      </c>
      <c r="K21" s="323"/>
      <c r="L21" s="338"/>
      <c r="M21" s="327"/>
      <c r="N21" s="92"/>
      <c r="O21"/>
      <c r="P21" s="244"/>
      <c r="Q21" s="244"/>
      <c r="R21" s="243"/>
      <c r="S21" s="243"/>
      <c r="T21" s="243"/>
      <c r="U21" s="243"/>
      <c r="V21" s="243"/>
      <c r="W21" s="243"/>
      <c r="X21" s="243"/>
      <c r="Y21" s="243"/>
      <c r="Z21" s="243"/>
    </row>
    <row r="22" spans="1:26" s="11" customFormat="1" x14ac:dyDescent="0.2">
      <c r="A22" s="148" t="str">
        <f t="shared" si="0"/>
        <v/>
      </c>
      <c r="B22" s="68">
        <f t="shared" si="1"/>
        <v>41686</v>
      </c>
      <c r="C22" s="59"/>
      <c r="D22" s="59"/>
      <c r="E22" s="59"/>
      <c r="F22" s="59"/>
      <c r="G22" s="44" t="str">
        <f>IF(AND(WEEKDAY(B22,2)&gt;5,$C22=""),"",IF(E22&gt;0,(E22*60+F22)-(C22*60+D22)-H22+TRUNC(Info!$D$10*(I22/100)),IF(MID(C22,1,2)="Fl",0,Info!$D$10))-Info!$D$10)</f>
        <v/>
      </c>
      <c r="H22" s="185">
        <f>IF(AND(Info!$C$46&gt;0,$E22&gt;$C22),Info!$C$46,)</f>
        <v>0</v>
      </c>
      <c r="I22" s="185"/>
      <c r="J22" s="175" t="str">
        <f>" "&amp;Info!AC22</f>
        <v xml:space="preserve"> </v>
      </c>
      <c r="K22" s="323"/>
      <c r="L22" s="338"/>
      <c r="M22" s="327"/>
      <c r="N22" s="92"/>
      <c r="O22"/>
      <c r="P22" s="244"/>
      <c r="Q22" s="244"/>
      <c r="R22" s="243"/>
      <c r="S22" s="243"/>
      <c r="T22" s="243"/>
      <c r="U22" s="243"/>
      <c r="V22" s="243"/>
      <c r="W22" s="243"/>
      <c r="X22" s="243"/>
      <c r="Y22" s="243"/>
      <c r="Z22" s="243"/>
    </row>
    <row r="23" spans="1:26" s="11" customFormat="1" x14ac:dyDescent="0.2">
      <c r="A23" s="148">
        <f t="shared" si="0"/>
        <v>8</v>
      </c>
      <c r="B23" s="68">
        <f t="shared" si="1"/>
        <v>41687</v>
      </c>
      <c r="C23" s="59"/>
      <c r="D23" s="59"/>
      <c r="E23" s="59"/>
      <c r="F23" s="59"/>
      <c r="G23" s="44">
        <f>IF(AND(WEEKDAY(B23,2)&gt;5,$C23=""),"",IF(E23&gt;0,(E23*60+F23)-(C23*60+D23)-H23+TRUNC(Info!$D$10*(I23/100)),IF(MID(C23,1,2)="Fl",0,Info!$D$10))-Info!$D$10)</f>
        <v>0</v>
      </c>
      <c r="H23" s="185">
        <f>IF(AND(Info!$C$46&gt;0,$E23&gt;$C23),Info!$C$46,)</f>
        <v>0</v>
      </c>
      <c r="I23" s="185"/>
      <c r="J23" s="175" t="str">
        <f>" "&amp;Info!AC23</f>
        <v xml:space="preserve"> </v>
      </c>
      <c r="K23" s="323"/>
      <c r="L23" s="338"/>
      <c r="M23" s="327"/>
      <c r="N23" s="92"/>
      <c r="O23"/>
      <c r="P23" s="244"/>
      <c r="Q23" s="244"/>
      <c r="R23" s="243"/>
      <c r="S23" s="243"/>
      <c r="T23" s="243"/>
      <c r="U23" s="243"/>
      <c r="V23" s="243"/>
      <c r="W23" s="243"/>
      <c r="X23" s="243"/>
      <c r="Y23" s="243"/>
      <c r="Z23" s="243"/>
    </row>
    <row r="24" spans="1:26" s="11" customFormat="1" x14ac:dyDescent="0.2">
      <c r="A24" s="148" t="str">
        <f t="shared" si="0"/>
        <v/>
      </c>
      <c r="B24" s="68">
        <f t="shared" si="1"/>
        <v>41688</v>
      </c>
      <c r="C24" s="59"/>
      <c r="D24" s="59"/>
      <c r="E24" s="59"/>
      <c r="F24" s="59"/>
      <c r="G24" s="44">
        <f>IF(AND(WEEKDAY(B24,2)&gt;5,$C24=""),"",IF(E24&gt;0,(E24*60+F24)-(C24*60+D24)-H24+TRUNC(Info!$D$10*(I24/100)),IF(MID(C24,1,2)="Fl",0,Info!$D$10))-Info!$D$10)</f>
        <v>0</v>
      </c>
      <c r="H24" s="185">
        <f>IF(AND(Info!$C$46&gt;0,$E24&gt;$C24),Info!$C$46,)</f>
        <v>0</v>
      </c>
      <c r="I24" s="185"/>
      <c r="J24" s="175" t="str">
        <f>" "&amp;Info!AC24</f>
        <v xml:space="preserve"> </v>
      </c>
      <c r="K24" s="323"/>
      <c r="L24" s="338"/>
      <c r="M24" s="327"/>
      <c r="N24" s="92"/>
      <c r="O24"/>
      <c r="P24" s="244"/>
      <c r="Q24" s="244"/>
      <c r="R24" s="243"/>
      <c r="S24" s="243"/>
      <c r="T24" s="243"/>
      <c r="U24" s="243"/>
      <c r="V24" s="243"/>
      <c r="W24" s="243"/>
      <c r="X24" s="243"/>
      <c r="Y24" s="243"/>
      <c r="Z24" s="243"/>
    </row>
    <row r="25" spans="1:26" s="11" customFormat="1" x14ac:dyDescent="0.2">
      <c r="A25" s="148" t="str">
        <f t="shared" si="0"/>
        <v/>
      </c>
      <c r="B25" s="68">
        <f t="shared" si="1"/>
        <v>41689</v>
      </c>
      <c r="C25" s="59"/>
      <c r="D25" s="59"/>
      <c r="E25" s="59"/>
      <c r="F25" s="59"/>
      <c r="G25" s="44">
        <f>IF(AND(WEEKDAY(B25,2)&gt;5,$C25=""),"",IF(E25&gt;0,(E25*60+F25)-(C25*60+D25)-H25+TRUNC(Info!$D$10*(I25/100)),IF(MID(C25,1,2)="Fl",0,Info!$D$10))-Info!$D$10)</f>
        <v>0</v>
      </c>
      <c r="H25" s="185">
        <f>IF(AND(Info!$C$46&gt;0,$E25&gt;$C25),Info!$C$46,)</f>
        <v>0</v>
      </c>
      <c r="I25" s="185"/>
      <c r="J25" s="175" t="str">
        <f>" "&amp;Info!AC25</f>
        <v xml:space="preserve"> </v>
      </c>
      <c r="K25" s="323"/>
      <c r="L25" s="338"/>
      <c r="M25" s="327"/>
      <c r="N25" s="92"/>
      <c r="O25"/>
      <c r="P25" s="244"/>
      <c r="Q25" s="244"/>
      <c r="R25" s="243"/>
      <c r="S25" s="243"/>
      <c r="T25" s="243"/>
      <c r="U25" s="243"/>
      <c r="V25" s="243"/>
      <c r="W25" s="243"/>
      <c r="X25" s="243"/>
      <c r="Y25" s="243"/>
      <c r="Z25" s="243"/>
    </row>
    <row r="26" spans="1:26" s="11" customFormat="1" x14ac:dyDescent="0.2">
      <c r="A26" s="148" t="str">
        <f t="shared" si="0"/>
        <v/>
      </c>
      <c r="B26" s="68">
        <f t="shared" si="1"/>
        <v>41690</v>
      </c>
      <c r="C26" s="59"/>
      <c r="D26" s="59"/>
      <c r="E26" s="59"/>
      <c r="F26" s="59"/>
      <c r="G26" s="44">
        <f>IF(AND(WEEKDAY(B26,2)&gt;5,$C26=""),"",IF(E26&gt;0,(E26*60+F26)-(C26*60+D26)-H26+TRUNC(Info!$D$10*(I26/100)),IF(MID(C26,1,2)="Fl",0,Info!$D$10))-Info!$D$10)</f>
        <v>0</v>
      </c>
      <c r="H26" s="185">
        <f>IF(AND(Info!$C$46&gt;0,$E26&gt;$C26),Info!$C$46,)</f>
        <v>0</v>
      </c>
      <c r="I26" s="185"/>
      <c r="J26" s="175" t="str">
        <f>" "&amp;Info!AC26</f>
        <v xml:space="preserve"> </v>
      </c>
      <c r="K26" s="323"/>
      <c r="L26" s="338"/>
      <c r="M26" s="327"/>
      <c r="N26" s="92"/>
      <c r="O26"/>
      <c r="P26" s="244"/>
      <c r="Q26" s="244"/>
      <c r="R26" s="243"/>
      <c r="S26" s="243"/>
      <c r="T26" s="243"/>
      <c r="U26" s="243"/>
      <c r="V26" s="243"/>
      <c r="W26" s="243"/>
      <c r="X26" s="243"/>
      <c r="Y26" s="243"/>
      <c r="Z26" s="243"/>
    </row>
    <row r="27" spans="1:26" s="11" customFormat="1" x14ac:dyDescent="0.2">
      <c r="A27" s="148" t="str">
        <f t="shared" si="0"/>
        <v/>
      </c>
      <c r="B27" s="68">
        <f t="shared" si="1"/>
        <v>41691</v>
      </c>
      <c r="C27" s="59"/>
      <c r="D27" s="59"/>
      <c r="E27" s="59"/>
      <c r="F27" s="59"/>
      <c r="G27" s="44">
        <f>IF(AND(WEEKDAY(B27,2)&gt;5,$C27=""),"",IF(E27&gt;0,(E27*60+F27)-(C27*60+D27)-H27+TRUNC(Info!$D$10*(I27/100)),IF(MID(C27,1,2)="Fl",0,Info!$D$10))-Info!$D$10)</f>
        <v>0</v>
      </c>
      <c r="H27" s="185">
        <f>IF(AND(Info!$C$46&gt;0,$E27&gt;$C27),Info!$C$46,)</f>
        <v>0</v>
      </c>
      <c r="I27" s="185"/>
      <c r="J27" s="175" t="str">
        <f>" "&amp;Info!AC27</f>
        <v xml:space="preserve"> Harald 77</v>
      </c>
      <c r="K27" s="323"/>
      <c r="L27" s="338"/>
      <c r="M27" s="327"/>
      <c r="N27" s="92"/>
      <c r="O27"/>
      <c r="P27" s="244"/>
      <c r="Q27" s="244"/>
      <c r="R27" s="243"/>
      <c r="S27" s="243"/>
      <c r="T27" s="243"/>
      <c r="U27" s="243"/>
      <c r="V27" s="243"/>
      <c r="W27" s="243"/>
      <c r="X27" s="243"/>
      <c r="Y27" s="243"/>
      <c r="Z27" s="243"/>
    </row>
    <row r="28" spans="1:26" s="11" customFormat="1" x14ac:dyDescent="0.2">
      <c r="A28" s="148" t="str">
        <f t="shared" si="0"/>
        <v/>
      </c>
      <c r="B28" s="68">
        <f t="shared" si="1"/>
        <v>41692</v>
      </c>
      <c r="C28" s="59"/>
      <c r="D28" s="59"/>
      <c r="E28" s="59"/>
      <c r="F28" s="59"/>
      <c r="G28" s="44" t="str">
        <f>IF(AND(WEEKDAY(B28,2)&gt;5,$C28=""),"",IF(E28&gt;0,(E28*60+F28)-(C28*60+D28)-H28+TRUNC(Info!$D$10*(I28/100)),IF(MID(C28,1,2)="Fl",0,Info!$D$10))-Info!$D$10)</f>
        <v/>
      </c>
      <c r="H28" s="185">
        <f>IF(AND(Info!$C$46&gt;0,$E28&gt;$C28),Info!$C$46,)</f>
        <v>0</v>
      </c>
      <c r="I28" s="185"/>
      <c r="J28" s="175" t="str">
        <f>" "&amp;Info!AC28</f>
        <v xml:space="preserve"> </v>
      </c>
      <c r="K28" s="323"/>
      <c r="L28" s="338"/>
      <c r="M28" s="327"/>
      <c r="N28" s="92"/>
      <c r="O28"/>
      <c r="P28" s="244"/>
      <c r="Q28" s="244"/>
      <c r="R28" s="243"/>
      <c r="S28" s="243"/>
      <c r="T28" s="243"/>
      <c r="U28" s="243"/>
      <c r="V28" s="243"/>
      <c r="W28" s="243"/>
      <c r="X28" s="243"/>
      <c r="Y28" s="243"/>
      <c r="Z28" s="243"/>
    </row>
    <row r="29" spans="1:26" s="11" customFormat="1" x14ac:dyDescent="0.2">
      <c r="A29" s="148" t="str">
        <f t="shared" si="0"/>
        <v/>
      </c>
      <c r="B29" s="68">
        <f t="shared" si="1"/>
        <v>41693</v>
      </c>
      <c r="C29" s="59"/>
      <c r="D29" s="59"/>
      <c r="E29" s="59"/>
      <c r="F29" s="59"/>
      <c r="G29" s="44" t="str">
        <f>IF(AND(WEEKDAY(B29,2)&gt;5,$C29=""),"",IF(E29&gt;0,(E29*60+F29)-(C29*60+D29)-H29+TRUNC(Info!$D$10*(I29/100)),IF(MID(C29,1,2)="Fl",0,Info!$D$10))-Info!$D$10)</f>
        <v/>
      </c>
      <c r="H29" s="185">
        <f>IF(AND(Info!$C$46&gt;0,$E29&gt;$C29),Info!$C$46,)</f>
        <v>0</v>
      </c>
      <c r="I29" s="185"/>
      <c r="J29" s="175" t="str">
        <f>" "&amp;Info!AC29</f>
        <v xml:space="preserve"> </v>
      </c>
      <c r="K29" s="323"/>
      <c r="L29" s="338"/>
      <c r="M29" s="327"/>
      <c r="N29" s="92"/>
      <c r="O29"/>
      <c r="P29" s="244"/>
      <c r="Q29" s="244"/>
      <c r="R29" s="243"/>
      <c r="S29" s="243"/>
      <c r="T29" s="243"/>
      <c r="U29" s="243"/>
      <c r="V29" s="243"/>
      <c r="W29" s="243"/>
      <c r="X29" s="243"/>
      <c r="Y29" s="243"/>
      <c r="Z29" s="243"/>
    </row>
    <row r="30" spans="1:26" s="11" customFormat="1" x14ac:dyDescent="0.2">
      <c r="A30" s="148">
        <f t="shared" si="0"/>
        <v>9</v>
      </c>
      <c r="B30" s="68">
        <f t="shared" si="1"/>
        <v>41694</v>
      </c>
      <c r="C30" s="59"/>
      <c r="D30" s="59"/>
      <c r="E30" s="59"/>
      <c r="F30" s="59"/>
      <c r="G30" s="44">
        <f>IF(AND(WEEKDAY(B30,2)&gt;5,$C30=""),"",IF(E30&gt;0,(E30*60+F30)-(C30*60+D30)-H30+TRUNC(Info!$D$10*(I30/100)),IF(MID(C30,1,2)="Fl",0,Info!$D$10))-Info!$D$10)</f>
        <v>0</v>
      </c>
      <c r="H30" s="185">
        <f>IF(AND(Info!$C$46&gt;0,$E30&gt;$C30),Info!$C$46,)</f>
        <v>0</v>
      </c>
      <c r="I30" s="185"/>
      <c r="J30" s="175" t="str">
        <f>" "&amp;Info!AC30</f>
        <v xml:space="preserve"> </v>
      </c>
      <c r="K30" s="323"/>
      <c r="L30" s="338"/>
      <c r="M30" s="327"/>
      <c r="N30" s="92"/>
      <c r="O30"/>
      <c r="P30" s="244"/>
      <c r="Q30" s="244"/>
      <c r="R30" s="243"/>
      <c r="S30" s="243"/>
      <c r="T30" s="243"/>
      <c r="U30" s="243"/>
      <c r="V30" s="243"/>
      <c r="W30" s="243"/>
      <c r="X30" s="243"/>
      <c r="Y30" s="243"/>
      <c r="Z30" s="243"/>
    </row>
    <row r="31" spans="1:26" s="11" customFormat="1" x14ac:dyDescent="0.2">
      <c r="A31" s="148" t="str">
        <f t="shared" si="0"/>
        <v/>
      </c>
      <c r="B31" s="68">
        <f t="shared" si="1"/>
        <v>41695</v>
      </c>
      <c r="C31" s="59"/>
      <c r="D31" s="59"/>
      <c r="E31" s="59"/>
      <c r="F31" s="59"/>
      <c r="G31" s="44">
        <f>IF(AND(WEEKDAY(B31,2)&gt;5,$C31=""),"",IF(E31&gt;0,(E31*60+F31)-(C31*60+D31)-H31+TRUNC(Info!$D$10*(I31/100)),IF(MID(C31,1,2)="Fl",0,Info!$D$10))-Info!$D$10)</f>
        <v>0</v>
      </c>
      <c r="H31" s="185">
        <f>IF(AND(Info!$C$46&gt;0,$E31&gt;$C31),Info!$C$46,)</f>
        <v>0</v>
      </c>
      <c r="I31" s="185"/>
      <c r="J31" s="175" t="str">
        <f>" "&amp;Info!AC31</f>
        <v xml:space="preserve"> </v>
      </c>
      <c r="K31" s="323"/>
      <c r="L31" s="338"/>
      <c r="M31" s="327"/>
      <c r="N31" s="92"/>
      <c r="O31"/>
      <c r="P31" s="244"/>
      <c r="Q31" s="244"/>
      <c r="R31" s="243"/>
      <c r="S31" s="243"/>
      <c r="T31" s="243"/>
      <c r="U31" s="243"/>
      <c r="V31" s="243"/>
      <c r="W31" s="243"/>
      <c r="X31" s="243"/>
      <c r="Y31" s="243"/>
      <c r="Z31" s="243"/>
    </row>
    <row r="32" spans="1:26" s="11" customFormat="1" x14ac:dyDescent="0.2">
      <c r="A32" s="148" t="str">
        <f t="shared" si="0"/>
        <v/>
      </c>
      <c r="B32" s="68">
        <f t="shared" si="1"/>
        <v>41696</v>
      </c>
      <c r="C32" s="59"/>
      <c r="D32" s="59"/>
      <c r="E32" s="59"/>
      <c r="F32" s="59"/>
      <c r="G32" s="44">
        <f>IF(AND(WEEKDAY(B32,2)&gt;5,$C32=""),"",IF(E32&gt;0,(E32*60+F32)-(C32*60+D32)-H32+TRUNC(Info!$D$10*(I32/100)),IF(MID(C32,1,2)="Fl",0,Info!$D$10))-Info!$D$10)</f>
        <v>0</v>
      </c>
      <c r="H32" s="185">
        <f>IF(AND(Info!$C$46&gt;0,$E32&gt;$C32),Info!$C$46,)</f>
        <v>0</v>
      </c>
      <c r="I32" s="185"/>
      <c r="J32" s="175" t="str">
        <f>" "&amp;Info!AC32</f>
        <v xml:space="preserve"> </v>
      </c>
      <c r="K32" s="323"/>
      <c r="L32" s="338"/>
      <c r="M32" s="327"/>
      <c r="N32" s="92"/>
      <c r="O32"/>
      <c r="P32" s="244"/>
      <c r="Q32" s="244"/>
      <c r="R32" s="243"/>
      <c r="S32" s="243"/>
      <c r="T32" s="243"/>
      <c r="U32" s="243"/>
      <c r="V32" s="243"/>
      <c r="W32" s="243"/>
      <c r="X32" s="243"/>
      <c r="Y32" s="243"/>
      <c r="Z32" s="243"/>
    </row>
    <row r="33" spans="1:26" s="11" customFormat="1" x14ac:dyDescent="0.2">
      <c r="A33" s="148" t="str">
        <f t="shared" si="0"/>
        <v/>
      </c>
      <c r="B33" s="68">
        <f t="shared" si="1"/>
        <v>41697</v>
      </c>
      <c r="C33" s="59"/>
      <c r="D33" s="59"/>
      <c r="E33" s="59"/>
      <c r="F33" s="59"/>
      <c r="G33" s="44">
        <f>IF(AND(WEEKDAY(B33,2)&gt;5,$C33=""),"",IF(E33&gt;0,(E33*60+F33)-(C33*60+D33)-H33+TRUNC(Info!$D$10*(I33/100)),IF(MID(C33,1,2)="Fl",0,Info!$D$10))-Info!$D$10)</f>
        <v>0</v>
      </c>
      <c r="H33" s="185"/>
      <c r="I33" s="185"/>
      <c r="J33" s="175" t="str">
        <f>" "&amp;Info!AC33</f>
        <v xml:space="preserve"> </v>
      </c>
      <c r="K33" s="334"/>
      <c r="L33" s="338"/>
      <c r="M33" s="327"/>
      <c r="N33" s="325"/>
      <c r="P33" s="243"/>
      <c r="Q33" s="243"/>
      <c r="R33" s="243"/>
      <c r="S33" s="243"/>
      <c r="T33" s="243"/>
      <c r="U33" s="243"/>
      <c r="V33" s="243"/>
      <c r="W33" s="243"/>
      <c r="X33" s="243"/>
      <c r="Y33" s="243"/>
      <c r="Z33" s="243"/>
    </row>
    <row r="34" spans="1:26" s="11" customFormat="1" ht="13.5" thickBot="1" x14ac:dyDescent="0.25">
      <c r="A34" s="148" t="str">
        <f t="shared" si="0"/>
        <v/>
      </c>
      <c r="B34" s="69">
        <f t="shared" si="1"/>
        <v>41698</v>
      </c>
      <c r="C34" s="60"/>
      <c r="D34" s="60"/>
      <c r="E34" s="60"/>
      <c r="F34" s="60"/>
      <c r="G34" s="52">
        <f>IF(AND(WEEKDAY(B34,2)&gt;5,$C34=""),"",IF(E34&gt;0,(E34*60+F34)-(C34*60+D34)-H34+TRUNC(Info!$D$10*(I34/100)),IF(MID(C34,1,2)="Fl",0,Info!$D$10))-Info!$D$10)</f>
        <v>0</v>
      </c>
      <c r="H34" s="186">
        <f>IF(AND(Info!$C$46&gt;0,$E34&gt;$C34),Info!$C$46,)</f>
        <v>0</v>
      </c>
      <c r="I34" s="186"/>
      <c r="J34" s="176" t="str">
        <f>" "&amp;Info!AC34</f>
        <v xml:space="preserve"> </v>
      </c>
      <c r="K34" s="323"/>
      <c r="L34" s="338"/>
      <c r="M34" s="327"/>
      <c r="N34" s="325"/>
      <c r="P34" s="243"/>
      <c r="Q34" s="243"/>
      <c r="R34" s="243"/>
      <c r="S34" s="243"/>
      <c r="T34" s="243"/>
      <c r="U34" s="243"/>
      <c r="V34" s="243"/>
      <c r="W34" s="243"/>
      <c r="X34" s="243"/>
      <c r="Y34" s="243"/>
      <c r="Z34" s="243"/>
    </row>
    <row r="35" spans="1:26" ht="13.5" thickBot="1" x14ac:dyDescent="0.25">
      <c r="A35" s="148"/>
      <c r="B35" s="190" t="str">
        <f>IF(DAY(B34+1)=29,B34+1,"")</f>
        <v/>
      </c>
      <c r="C35" s="331"/>
      <c r="D35" s="331"/>
      <c r="E35" s="331"/>
      <c r="F35" s="331"/>
      <c r="G35" s="189" t="str">
        <f>IF(B35="","",IF(WEEKDAY(B35,2)&gt;5,"",IF(E35&gt;0,(E35*60+F35)-(C35*60+D35)-H35+TRUNC(Info!$D$10*(I35/100)),IF(MID(C35,1,2)="Fl",0,Info!$D$10))-Info!$D$10))</f>
        <v/>
      </c>
      <c r="H35" s="332" t="str">
        <f>IF(B35="","",IF(AND(Info!$C$46&gt;0,$E35&gt;$C35),Info!$C$46,))</f>
        <v/>
      </c>
      <c r="I35" s="333"/>
      <c r="J35" s="214" t="str">
        <f>" "&amp;Info!AC35</f>
        <v xml:space="preserve"> </v>
      </c>
      <c r="K35" s="335"/>
      <c r="L35" s="339"/>
      <c r="M35" s="327"/>
    </row>
    <row r="36" spans="1:26" x14ac:dyDescent="0.2">
      <c r="K36" s="313">
        <f>SUM(K7:K35)</f>
        <v>0</v>
      </c>
      <c r="L36" s="313">
        <f>SUM(L7:L35)</f>
        <v>0</v>
      </c>
      <c r="M36" s="327"/>
      <c r="N36" s="340">
        <f>SUM(Jan!$K$27:'Jan'!$K37)+SUM(K7:K26)</f>
        <v>0</v>
      </c>
    </row>
    <row r="37" spans="1:26" x14ac:dyDescent="0.2">
      <c r="G37"/>
      <c r="H37"/>
      <c r="I37"/>
      <c r="J37"/>
      <c r="K37" s="342" t="str">
        <f>ROUNDDOWN(K36/60,1)&amp;" t"</f>
        <v>0 t</v>
      </c>
      <c r="L37" s="96" t="s">
        <v>217</v>
      </c>
      <c r="N37" s="330" t="str">
        <f>ROUNDDOWN(N36/60,1)&amp;" t  i perioden 21."&amp;TEXT(B7-1,"m")&amp;"-20."&amp;TEXT(B7,"m")</f>
        <v>0 t  i perioden 21.1-20.2</v>
      </c>
    </row>
    <row r="38" spans="1:26" x14ac:dyDescent="0.2">
      <c r="B38" s="454" t="s">
        <v>141</v>
      </c>
      <c r="C38" s="455"/>
      <c r="D38" s="455"/>
      <c r="E38" s="456"/>
      <c r="F38" s="208" t="s">
        <v>48</v>
      </c>
      <c r="G38" s="209" t="s">
        <v>49</v>
      </c>
      <c r="H38" s="482" t="s">
        <v>50</v>
      </c>
      <c r="I38" s="460"/>
      <c r="J38" s="14" t="s">
        <v>19</v>
      </c>
    </row>
    <row r="39" spans="1:26" x14ac:dyDescent="0.2">
      <c r="B39" s="191" t="str">
        <f>J$2&amp;":"</f>
        <v>Februar:</v>
      </c>
      <c r="C39" s="1"/>
      <c r="D39" s="1"/>
      <c r="E39" s="40">
        <f>SUM(G$7:G$37)</f>
        <v>0</v>
      </c>
      <c r="F39" s="38">
        <f>TRUNC(E39/60,)</f>
        <v>0</v>
      </c>
      <c r="G39" s="50">
        <f>((E39/60)-F39)*60</f>
        <v>0</v>
      </c>
      <c r="H39" s="471"/>
      <c r="I39" s="472"/>
      <c r="J39" s="15" t="s">
        <v>145</v>
      </c>
    </row>
    <row r="40" spans="1:26" x14ac:dyDescent="0.2">
      <c r="B40" s="192" t="str">
        <f>"Fra "&amp;TEXT(($B$7-1),"mmmm")&amp;":"</f>
        <v>Fra januar:</v>
      </c>
      <c r="C40" s="1"/>
      <c r="D40" s="1"/>
      <c r="E40" s="40">
        <f>Jan!$E$43</f>
        <v>0</v>
      </c>
      <c r="F40" s="39">
        <f>TRUNC(E40/60,)</f>
        <v>0</v>
      </c>
      <c r="G40" s="51">
        <f>((E40/60)-F40)*60</f>
        <v>0</v>
      </c>
      <c r="H40" s="473"/>
      <c r="I40" s="474"/>
      <c r="J40" s="15" t="s">
        <v>146</v>
      </c>
      <c r="K40" s="92"/>
      <c r="L40" s="92"/>
    </row>
    <row r="41" spans="1:26" x14ac:dyDescent="0.2">
      <c r="B41" s="210" t="s">
        <v>142</v>
      </c>
      <c r="C41" s="1"/>
      <c r="D41" s="1"/>
      <c r="E41" s="193">
        <f>E39+E40</f>
        <v>0</v>
      </c>
      <c r="F41" s="80">
        <f>TRUNC(E41/60,)</f>
        <v>0</v>
      </c>
      <c r="G41" s="81">
        <f>((E41/60)-F41)*60</f>
        <v>0</v>
      </c>
      <c r="H41" s="457">
        <f>E41/Info!$D$10</f>
        <v>0</v>
      </c>
      <c r="I41" s="451"/>
      <c r="J41" s="213" t="s">
        <v>147</v>
      </c>
      <c r="K41" s="92"/>
      <c r="L41" s="92"/>
    </row>
    <row r="42" spans="1:26" x14ac:dyDescent="0.2">
      <c r="B42" s="454" t="s">
        <v>133</v>
      </c>
      <c r="C42" s="455"/>
      <c r="D42" s="455"/>
      <c r="E42" s="456"/>
      <c r="F42" s="1"/>
      <c r="G42" s="46"/>
      <c r="H42" s="461">
        <f>IF(Info!$C$47="Ja",E41/Info!$D$11,)</f>
        <v>0</v>
      </c>
      <c r="I42" s="461"/>
      <c r="J42" s="17" t="s">
        <v>40</v>
      </c>
      <c r="K42" s="92"/>
      <c r="L42" s="92"/>
    </row>
    <row r="43" spans="1:26" x14ac:dyDescent="0.2">
      <c r="B43" s="191" t="str">
        <f>J$2&amp;":"</f>
        <v>Februar:</v>
      </c>
      <c r="C43" s="194"/>
      <c r="D43" s="195"/>
      <c r="E43" s="196">
        <f>COUNTIF(C$7:C$37,"Fe*")</f>
        <v>0</v>
      </c>
      <c r="G43" s="47"/>
      <c r="H43" s="18"/>
      <c r="I43" s="18"/>
      <c r="J43" s="25"/>
      <c r="K43" s="92"/>
      <c r="L43" s="92"/>
    </row>
    <row r="44" spans="1:26" x14ac:dyDescent="0.2">
      <c r="B44" s="192" t="s">
        <v>143</v>
      </c>
      <c r="C44" s="7"/>
      <c r="D44" s="7"/>
      <c r="E44" s="197">
        <f>Jan!$E$47</f>
        <v>0</v>
      </c>
      <c r="F44" s="10"/>
      <c r="G44" s="48"/>
      <c r="H44" s="19"/>
      <c r="I44" s="19"/>
      <c r="J44" s="26"/>
      <c r="K44" s="92"/>
      <c r="L44" s="92"/>
    </row>
    <row r="45" spans="1:26" x14ac:dyDescent="0.2">
      <c r="B45" s="211" t="s">
        <v>44</v>
      </c>
      <c r="C45" s="198"/>
      <c r="D45" s="198"/>
      <c r="E45" s="199">
        <f>E44-E43</f>
        <v>0</v>
      </c>
      <c r="F45" s="2"/>
      <c r="G45" s="48"/>
      <c r="H45" s="19"/>
      <c r="I45" s="19"/>
      <c r="J45" s="26"/>
      <c r="K45" s="92"/>
      <c r="L45" s="92"/>
    </row>
    <row r="46" spans="1:26" x14ac:dyDescent="0.2">
      <c r="B46" s="454" t="s">
        <v>140</v>
      </c>
      <c r="C46" s="455"/>
      <c r="D46" s="455"/>
      <c r="E46" s="456"/>
      <c r="F46" s="477" t="s">
        <v>87</v>
      </c>
      <c r="G46" s="478"/>
      <c r="H46" s="479"/>
      <c r="I46" s="480"/>
      <c r="K46" s="92"/>
      <c r="L46" s="92"/>
    </row>
    <row r="47" spans="1:26" x14ac:dyDescent="0.2">
      <c r="B47" s="191" t="str">
        <f>J$2&amp;":"</f>
        <v>Februar:</v>
      </c>
      <c r="C47" s="195"/>
      <c r="D47" s="195"/>
      <c r="E47" s="200">
        <f>COUNTIF(C$7:C$37,"S*")</f>
        <v>0</v>
      </c>
      <c r="F47" s="475" t="str">
        <f>IF(E47&gt;0,"- av disse","")</f>
        <v/>
      </c>
      <c r="G47" s="476"/>
      <c r="H47" s="481" t="str">
        <f>IF(E47&gt;0,E47-COUNTIF(C$7:C$37,"s*m*"),"")</f>
        <v/>
      </c>
      <c r="I47" s="480"/>
      <c r="K47" s="92"/>
      <c r="L47" s="92"/>
    </row>
    <row r="48" spans="1:26" x14ac:dyDescent="0.2">
      <c r="B48" s="211" t="str">
        <f>J$1&amp;":"</f>
        <v>2014:</v>
      </c>
      <c r="C48" s="198"/>
      <c r="D48" s="198"/>
      <c r="E48" s="201">
        <f>Jan!$E$50+E47</f>
        <v>0</v>
      </c>
      <c r="F48" s="452" t="s">
        <v>148</v>
      </c>
      <c r="G48" s="453"/>
      <c r="H48" s="450">
        <f>SUM(Info!$I$6:'Info'!$I$15)+SUM(Info!$J$4:'Info'!$J$4)+E47-COUNTIF(C$7:C$37,"s*m*")</f>
        <v>0</v>
      </c>
      <c r="I48" s="451"/>
      <c r="J48" s="312"/>
      <c r="K48" s="92"/>
      <c r="L48" s="92"/>
    </row>
    <row r="49" spans="2:12" x14ac:dyDescent="0.2">
      <c r="B49" s="454" t="s">
        <v>144</v>
      </c>
      <c r="C49" s="455"/>
      <c r="D49" s="455"/>
      <c r="E49" s="456"/>
      <c r="K49" s="92"/>
      <c r="L49" s="92"/>
    </row>
    <row r="50" spans="2:12" x14ac:dyDescent="0.2">
      <c r="B50" s="202" t="str">
        <f>"Sykt barn/-passer i "&amp;LOWER(J$2)&amp;":"</f>
        <v>Sykt barn/-passer i februar:</v>
      </c>
      <c r="C50" s="28"/>
      <c r="D50" s="203"/>
      <c r="E50" s="204">
        <f>COUNTIF(C$7:C$37,"P*b*")</f>
        <v>0</v>
      </c>
      <c r="F50" s="1"/>
      <c r="G50" s="49"/>
      <c r="H50" s="19"/>
      <c r="I50" s="19"/>
      <c r="K50" s="92"/>
      <c r="L50" s="92"/>
    </row>
    <row r="51" spans="2:12" x14ac:dyDescent="0.2">
      <c r="B51" s="205" t="str">
        <f>"Velferdspermisjon i "&amp;LOWER(J$2)&amp;":"</f>
        <v>Velferdspermisjon i februar:</v>
      </c>
      <c r="C51" s="1"/>
      <c r="D51" s="1"/>
      <c r="E51" s="206">
        <f>COUNTIF(C$7:C$37,"P*v*")</f>
        <v>0</v>
      </c>
      <c r="K51" s="92"/>
      <c r="L51" s="92"/>
    </row>
    <row r="52" spans="2:12" x14ac:dyDescent="0.2">
      <c r="B52" s="205" t="str">
        <f>"Annen permisjon i "&amp;LOWER(J$2)&amp;":"</f>
        <v>Annen permisjon i februar:</v>
      </c>
      <c r="C52" s="1"/>
      <c r="D52" s="1"/>
      <c r="E52" s="206">
        <f>COUNTIF(C$7:C$37,"P*a*")</f>
        <v>0</v>
      </c>
      <c r="J52" s="429"/>
      <c r="K52" s="92"/>
      <c r="L52" s="92"/>
    </row>
    <row r="53" spans="2:12" x14ac:dyDescent="0.2">
      <c r="B53" s="212" t="str">
        <f>J$1&amp;":"</f>
        <v>2014:</v>
      </c>
      <c r="C53" s="31"/>
      <c r="D53" s="31"/>
      <c r="E53" s="207">
        <f>Jan!$E$54+SUM(E50:E52)</f>
        <v>0</v>
      </c>
      <c r="J53" s="314" t="s">
        <v>233</v>
      </c>
      <c r="K53" s="92"/>
      <c r="L53" s="92"/>
    </row>
    <row r="54" spans="2:12" x14ac:dyDescent="0.2">
      <c r="K54" s="92"/>
      <c r="L54" s="92"/>
    </row>
    <row r="55" spans="2:12" x14ac:dyDescent="0.2">
      <c r="K55" s="92"/>
      <c r="L55" s="92"/>
    </row>
  </sheetData>
  <sheetProtection selectLockedCells="1"/>
  <mergeCells count="16">
    <mergeCell ref="K5:L5"/>
    <mergeCell ref="H42:I42"/>
    <mergeCell ref="H5:I5"/>
    <mergeCell ref="H38:I38"/>
    <mergeCell ref="H39:I39"/>
    <mergeCell ref="H40:I40"/>
    <mergeCell ref="F47:G47"/>
    <mergeCell ref="F48:G48"/>
    <mergeCell ref="B49:E49"/>
    <mergeCell ref="B38:E38"/>
    <mergeCell ref="B42:E42"/>
    <mergeCell ref="B46:E46"/>
    <mergeCell ref="F46:I46"/>
    <mergeCell ref="H47:I47"/>
    <mergeCell ref="H48:I48"/>
    <mergeCell ref="H41:I41"/>
  </mergeCells>
  <phoneticPr fontId="0" type="noConversion"/>
  <conditionalFormatting sqref="G35:H35">
    <cfRule type="expression" dxfId="297" priority="1" stopIfTrue="1">
      <formula>WEEKDAY($B$35,2)&gt;5</formula>
    </cfRule>
    <cfRule type="expression" dxfId="296" priority="2" stopIfTrue="1">
      <formula>$B35=""</formula>
    </cfRule>
  </conditionalFormatting>
  <conditionalFormatting sqref="C7:F34 H7:I34">
    <cfRule type="expression" dxfId="295" priority="3" stopIfTrue="1">
      <formula>$B7=TODAY()</formula>
    </cfRule>
    <cfRule type="expression" dxfId="294" priority="4" stopIfTrue="1">
      <formula>WEEKDAY($B7,2)&gt;5</formula>
    </cfRule>
  </conditionalFormatting>
  <conditionalFormatting sqref="C35:E35 I35:J35 L35">
    <cfRule type="expression" dxfId="293" priority="5" stopIfTrue="1">
      <formula>$B35=""</formula>
    </cfRule>
    <cfRule type="expression" dxfId="292" priority="6" stopIfTrue="1">
      <formula>WEEKDAY($B$35,2)&gt;5</formula>
    </cfRule>
    <cfRule type="expression" dxfId="291" priority="7" stopIfTrue="1">
      <formula>$B34=TODAY()</formula>
    </cfRule>
  </conditionalFormatting>
  <conditionalFormatting sqref="J7:L34">
    <cfRule type="expression" dxfId="290" priority="8" stopIfTrue="1">
      <formula>$B7=TODAY()</formula>
    </cfRule>
    <cfRule type="expression" dxfId="289" priority="9" stopIfTrue="1">
      <formula>WEEKDAY($B7,2)&gt;5</formula>
    </cfRule>
  </conditionalFormatting>
  <conditionalFormatting sqref="A7">
    <cfRule type="expression" dxfId="288" priority="10" stopIfTrue="1">
      <formula>AND((TODAY()-WEEKDAY(TODAY(),2)+7)&gt;=B7,(TODAY()-WEEKDAY(TODAY(),2)&lt;B7))</formula>
    </cfRule>
  </conditionalFormatting>
  <conditionalFormatting sqref="A8:A34">
    <cfRule type="expression" dxfId="287" priority="11" stopIfTrue="1">
      <formula>(TODAY()-WEEKDAY(TODAY(),2)+1)=B8</formula>
    </cfRule>
  </conditionalFormatting>
  <conditionalFormatting sqref="G6">
    <cfRule type="expression" dxfId="286" priority="12" stopIfTrue="1">
      <formula>AND(H41&gt;-0.99,H41&lt;-0.01)</formula>
    </cfRule>
    <cfRule type="expression" dxfId="285" priority="13" stopIfTrue="1">
      <formula>H41&lt;=-2</formula>
    </cfRule>
    <cfRule type="expression" dxfId="284" priority="14" stopIfTrue="1">
      <formula>AND(H41&gt;-1.99,H41&lt;-1)</formula>
    </cfRule>
  </conditionalFormatting>
  <conditionalFormatting sqref="G7:G34">
    <cfRule type="expression" dxfId="283" priority="15" stopIfTrue="1">
      <formula>WEEKDAY($B7,2)&gt;5</formula>
    </cfRule>
  </conditionalFormatting>
  <conditionalFormatting sqref="F35">
    <cfRule type="expression" dxfId="282" priority="16" stopIfTrue="1">
      <formula>$B35=""</formula>
    </cfRule>
    <cfRule type="expression" dxfId="281" priority="17" stopIfTrue="1">
      <formula>WEEKDAY($B$35,2)&gt;5</formula>
    </cfRule>
    <cfRule type="expression" dxfId="280" priority="18" stopIfTrue="1">
      <formula>$B35=TODAY()</formula>
    </cfRule>
  </conditionalFormatting>
  <conditionalFormatting sqref="N1">
    <cfRule type="expression" dxfId="279" priority="50" stopIfTrue="1">
      <formula>MONTH(B7)=MONTH(TODAY())</formula>
    </cfRule>
  </conditionalFormatting>
  <conditionalFormatting sqref="K37">
    <cfRule type="expression" dxfId="278" priority="51" stopIfTrue="1">
      <formula>K36&lt;=0</formula>
    </cfRule>
  </conditionalFormatting>
  <conditionalFormatting sqref="N2:N6">
    <cfRule type="expression" dxfId="277" priority="52" stopIfTrue="1">
      <formula>MONTH($B$7)=MONTH(TODAY())</formula>
    </cfRule>
  </conditionalFormatting>
  <conditionalFormatting sqref="H48">
    <cfRule type="cellIs" dxfId="276" priority="19" stopIfTrue="1" operator="greaterThan">
      <formula>22</formula>
    </cfRule>
  </conditionalFormatting>
  <conditionalFormatting sqref="H41">
    <cfRule type="cellIs" dxfId="275" priority="20" stopIfTrue="1" operator="between">
      <formula>-0.4</formula>
      <formula>-0.9999999</formula>
    </cfRule>
    <cfRule type="cellIs" dxfId="274" priority="21" stopIfTrue="1" operator="lessThanOrEqual">
      <formula>-2</formula>
    </cfRule>
    <cfRule type="cellIs" dxfId="273" priority="22" stopIfTrue="1" operator="between">
      <formula>-1</formula>
      <formula>-1.99999999</formula>
    </cfRule>
  </conditionalFormatting>
  <conditionalFormatting sqref="B7">
    <cfRule type="expression" dxfId="272" priority="23" stopIfTrue="1">
      <formula>AND(B7=TODAY(),WEEKDAY(B7,2)&gt;5)</formula>
    </cfRule>
    <cfRule type="expression" dxfId="271" priority="24" stopIfTrue="1">
      <formula>B7=TODAY()</formula>
    </cfRule>
    <cfRule type="expression" dxfId="270" priority="25" stopIfTrue="1">
      <formula>WEEKDAY(B7,2)&gt;5</formula>
    </cfRule>
  </conditionalFormatting>
  <conditionalFormatting sqref="B8:B34">
    <cfRule type="expression" dxfId="269" priority="26" stopIfTrue="1">
      <formula>AND(B8=TODAY(),WEEKDAY(B8,2)&gt;5)</formula>
    </cfRule>
    <cfRule type="expression" dxfId="268" priority="27" stopIfTrue="1">
      <formula>B8=TODAY()</formula>
    </cfRule>
    <cfRule type="expression" dxfId="267" priority="28" stopIfTrue="1">
      <formula>WEEKDAY(B8,2)&gt;5</formula>
    </cfRule>
  </conditionalFormatting>
  <conditionalFormatting sqref="B35">
    <cfRule type="expression" dxfId="266" priority="29" stopIfTrue="1">
      <formula>B35=""</formula>
    </cfRule>
    <cfRule type="expression" dxfId="265" priority="30" stopIfTrue="1">
      <formula>B35=TODAY()</formula>
    </cfRule>
    <cfRule type="expression" dxfId="264" priority="31" stopIfTrue="1">
      <formula>WEEKDAY(B35,2)&gt;5</formula>
    </cfRule>
  </conditionalFormatting>
  <conditionalFormatting sqref="N37">
    <cfRule type="expression" dxfId="263" priority="66" stopIfTrue="1">
      <formula>$N$36&lt;=0</formula>
    </cfRule>
  </conditionalFormatting>
  <conditionalFormatting sqref="L37">
    <cfRule type="expression" dxfId="262" priority="67" stopIfTrue="1">
      <formula>OR(K36&lt;=0,$N$36&lt;=0)</formula>
    </cfRule>
  </conditionalFormatting>
  <conditionalFormatting sqref="K35">
    <cfRule type="expression" dxfId="261" priority="68" stopIfTrue="1">
      <formula>$B35=""</formula>
    </cfRule>
    <cfRule type="expression" dxfId="260" priority="69" stopIfTrue="1">
      <formula>WEEKDAY($B$35,2)&gt;5</formula>
    </cfRule>
    <cfRule type="expression" dxfId="259" priority="70" stopIfTrue="1">
      <formula>$B34=TODAY()</formula>
    </cfRule>
  </conditionalFormatting>
  <conditionalFormatting sqref="K36:L36">
    <cfRule type="cellIs" dxfId="258" priority="71" stopIfTrue="1" operator="lessThanOrEqual">
      <formula>0</formula>
    </cfRule>
  </conditionalFormatting>
  <pageMargins left="0.78740157480314965" right="0.19685039370078741" top="0.78740157480314965" bottom="0.98425196850393704" header="0.51181102362204722" footer="0.51181102362204722"/>
  <pageSetup paperSize="9" orientation="portrait" r:id="rId1"/>
  <headerFooter alignWithMargins="0">
    <oddFooter>&amp;R&amp;7ghe&amp;G 2011</oddFooter>
  </headerFooter>
  <ignoredErrors>
    <ignoredError sqref="J35 H35 H34 H7:H32 J7:J34" unlockedFormula="1"/>
  </ignoredErrors>
  <drawing r:id="rId2"/>
  <legacy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5" enableFormatConditionsCalculation="0">
    <tabColor indexed="43"/>
  </sheetPr>
  <dimension ref="A1:Z55"/>
  <sheetViews>
    <sheetView showGridLines="0" workbookViewId="0">
      <pane ySplit="6" topLeftCell="A7" activePane="bottomLeft" state="frozenSplit"/>
      <selection pane="bottomLeft" activeCell="B4" sqref="B4"/>
    </sheetView>
  </sheetViews>
  <sheetFormatPr baseColWidth="10" defaultColWidth="9.140625" defaultRowHeight="12.75" x14ac:dyDescent="0.2"/>
  <cols>
    <col min="1" max="1" width="2.42578125" style="149" customWidth="1"/>
    <col min="2" max="2" width="7.5703125" customWidth="1"/>
    <col min="3" max="5" width="9.140625" customWidth="1"/>
    <col min="6" max="6" width="8.5703125" customWidth="1"/>
    <col min="7" max="7" width="7.140625" style="41" customWidth="1"/>
    <col min="8" max="8" width="5" style="8" customWidth="1"/>
    <col min="9" max="9" width="3.42578125" style="8" customWidth="1"/>
    <col min="10" max="10" width="31.42578125" style="10" customWidth="1"/>
    <col min="11" max="12" width="4.7109375" customWidth="1"/>
    <col min="13" max="13" width="1.85546875" style="92" customWidth="1"/>
    <col min="14" max="14" width="20.42578125" customWidth="1"/>
    <col min="15" max="15" width="2.140625" customWidth="1"/>
    <col min="16" max="16" width="9.7109375" style="244" customWidth="1"/>
    <col min="17" max="26" width="9.140625" style="244"/>
  </cols>
  <sheetData>
    <row r="1" spans="1:26" s="92" customFormat="1" x14ac:dyDescent="0.2">
      <c r="A1" s="133"/>
      <c r="G1" s="347"/>
      <c r="H1" s="348"/>
      <c r="I1" s="348"/>
      <c r="J1" s="349">
        <f>Info!$E$1</f>
        <v>2014</v>
      </c>
    </row>
    <row r="2" spans="1:26" s="92" customFormat="1" ht="23.25" x14ac:dyDescent="0.35">
      <c r="A2" s="350"/>
      <c r="B2" s="407"/>
      <c r="C2" s="407"/>
      <c r="D2" s="408"/>
      <c r="E2" s="408"/>
      <c r="F2" s="409" t="str">
        <f>Info!C41</f>
        <v>Fleksitid</v>
      </c>
      <c r="G2" s="410"/>
      <c r="H2" s="411"/>
      <c r="I2" s="411"/>
      <c r="J2" s="412" t="s">
        <v>12</v>
      </c>
      <c r="N2" s="325"/>
    </row>
    <row r="3" spans="1:26" s="92" customFormat="1" ht="17.25" customHeight="1" x14ac:dyDescent="0.2">
      <c r="A3" s="133"/>
      <c r="B3" s="356"/>
      <c r="C3" s="357"/>
      <c r="D3" s="358"/>
      <c r="E3" s="359"/>
      <c r="F3" s="360">
        <f>Info!$C$5</f>
        <v>0</v>
      </c>
      <c r="G3" s="361"/>
      <c r="H3" s="362"/>
      <c r="I3" s="362"/>
      <c r="J3" s="314"/>
      <c r="N3" s="325"/>
    </row>
    <row r="4" spans="1:26" s="92" customFormat="1" ht="15" customHeight="1" thickBot="1" x14ac:dyDescent="0.25">
      <c r="A4" s="133"/>
      <c r="B4" s="413"/>
      <c r="C4" s="364"/>
      <c r="D4" s="365"/>
      <c r="E4" s="366"/>
      <c r="F4" s="367">
        <f>Info!$C$6</f>
        <v>0</v>
      </c>
      <c r="G4" s="368"/>
      <c r="H4" s="366"/>
      <c r="I4" s="366"/>
      <c r="J4" s="365"/>
      <c r="N4" s="325"/>
    </row>
    <row r="5" spans="1:26" x14ac:dyDescent="0.2">
      <c r="B5" s="174"/>
      <c r="C5" s="4" t="s">
        <v>0</v>
      </c>
      <c r="D5" s="4"/>
      <c r="E5" s="4" t="s">
        <v>1</v>
      </c>
      <c r="F5" s="4"/>
      <c r="G5" s="173"/>
      <c r="H5" s="468" t="s">
        <v>208</v>
      </c>
      <c r="I5" s="469"/>
      <c r="J5" s="9" t="s">
        <v>6</v>
      </c>
      <c r="K5" s="462" t="s">
        <v>216</v>
      </c>
      <c r="L5" s="463"/>
      <c r="M5" s="326"/>
      <c r="N5" s="11"/>
    </row>
    <row r="6" spans="1:26" ht="13.5" thickBot="1" x14ac:dyDescent="0.25">
      <c r="B6" s="5" t="s">
        <v>2</v>
      </c>
      <c r="C6" s="6" t="s">
        <v>3</v>
      </c>
      <c r="D6" s="6" t="s">
        <v>4</v>
      </c>
      <c r="E6" s="6" t="s">
        <v>3</v>
      </c>
      <c r="F6" s="6" t="s">
        <v>4</v>
      </c>
      <c r="G6" s="188" t="s">
        <v>139</v>
      </c>
      <c r="H6" s="6" t="s">
        <v>4</v>
      </c>
      <c r="I6" s="308" t="s">
        <v>207</v>
      </c>
      <c r="J6" s="172" t="str">
        <f>"Fleksi"&amp;IF(E43&lt;Info!D10,"tid: "&amp;IF(E43&lt;0,"-","")&amp;ABS(F43)&amp;":"&amp;ABS(ROUND(G43,)),"dager: "&amp;ROUND(H$43,1))&amp;"   Ferie: "&amp;E$47</f>
        <v>Fleksitid: 0:0   Ferie: 0</v>
      </c>
      <c r="K6" s="320" t="s">
        <v>4</v>
      </c>
      <c r="L6" s="322" t="s">
        <v>215</v>
      </c>
      <c r="M6" s="133"/>
      <c r="N6" s="11"/>
    </row>
    <row r="7" spans="1:26" s="11" customFormat="1" x14ac:dyDescent="0.2">
      <c r="A7" s="157" t="str">
        <f>IF(AND(WEEKDAY($B7,2)&lt;&gt;3,VLOOKUP($B7,Info!$AO$7:$AO$17,1)=$B7)," ","")&amp;IF(WEEKDAY(B7,2)&lt;6,INT((B7-(DATE(YEAR(B7+(MOD(8-WEEKDAY(B7),7)-3)),1,1))-3+
MOD(WEEKDAY(DATE(YEAR(B7+(MOD(8-WEEKDAY(B7),7)-3)),1,1))+1,7))/7)+1,"")</f>
        <v/>
      </c>
      <c r="B7" s="68">
        <f>DATE(Info!$E$1,3,1)</f>
        <v>41699</v>
      </c>
      <c r="C7" s="59"/>
      <c r="D7" s="59"/>
      <c r="E7" s="59"/>
      <c r="F7" s="59"/>
      <c r="G7" s="215" t="str">
        <f>IF(AND(WEEKDAY(B7,2)&gt;5,$C7=""),"",IF(E7&gt;0,(E7*60+F7)-(C7*60+D7)-H7+TRUNC(Info!$D$10*(I7/100)),IF(MID(C7,1,2)="Fl",0,Info!$D$10))-Info!$D$10)</f>
        <v/>
      </c>
      <c r="H7" s="185">
        <f>IF(AND(Info!$C$46&gt;0,$E7&gt;$C7),Info!$C$46,)</f>
        <v>0</v>
      </c>
      <c r="I7" s="185"/>
      <c r="J7" s="175" t="str">
        <f>" "&amp;Info!AD7</f>
        <v xml:space="preserve"> </v>
      </c>
      <c r="K7" s="323"/>
      <c r="L7" s="338"/>
      <c r="M7" s="327"/>
      <c r="P7" s="243"/>
      <c r="Q7" s="243"/>
      <c r="R7" s="243"/>
      <c r="S7" s="243"/>
      <c r="T7" s="243"/>
      <c r="U7" s="243"/>
      <c r="V7" s="243"/>
      <c r="W7" s="243"/>
      <c r="X7" s="243"/>
      <c r="Y7" s="243"/>
      <c r="Z7" s="243"/>
    </row>
    <row r="8" spans="1:26" s="11" customFormat="1" x14ac:dyDescent="0.2">
      <c r="A8" s="157" t="str">
        <f>IF(AND(WEEKDAY($B8,2)&lt;&gt;3,VLOOKUP($B8,Info!$AO$7:$AO$17,1)=$B8)," ","")&amp;IF(WEEKDAY(B8,2)=1,INT((B8-(DATE(YEAR(B8+(MOD(8-WEEKDAY(B8),7)-3)),1,1))-3+
MOD(WEEKDAY(DATE(YEAR(B8+(MOD(8-WEEKDAY(B8),7)-3)),1,1))+1,7))/7)+1,"")</f>
        <v xml:space="preserve"> </v>
      </c>
      <c r="B8" s="68">
        <f t="shared" ref="B8:B37" si="0">B7+1</f>
        <v>41700</v>
      </c>
      <c r="C8" s="59"/>
      <c r="D8" s="59"/>
      <c r="E8" s="59"/>
      <c r="F8" s="59"/>
      <c r="G8" s="215" t="str">
        <f>IF(AND(WEEKDAY(B8,2)&gt;5,$C8=""),"",IF(E8&gt;0,(E8*60+F8)-(C8*60+D8)-H8+TRUNC(Info!$D$10*(I8/100)),IF(MID(C8,1,2)="Fl",0,Info!$D$10))-Info!$D$10)</f>
        <v/>
      </c>
      <c r="H8" s="185">
        <f>IF(AND(Info!$C$46&gt;0,$E8&gt;$C8),Info!$C$46,)</f>
        <v>0</v>
      </c>
      <c r="I8" s="185"/>
      <c r="J8" s="175" t="str">
        <f>" "&amp;Info!AD8</f>
        <v xml:space="preserve"> Fastelaven</v>
      </c>
      <c r="K8" s="323"/>
      <c r="L8" s="338"/>
      <c r="M8" s="327"/>
      <c r="P8" s="243"/>
      <c r="Q8" s="243"/>
      <c r="R8" s="243"/>
      <c r="S8" s="243"/>
      <c r="T8" s="243"/>
      <c r="U8" s="243"/>
      <c r="V8" s="243"/>
      <c r="W8" s="243"/>
      <c r="X8" s="243"/>
      <c r="Y8" s="243"/>
      <c r="Z8" s="243"/>
    </row>
    <row r="9" spans="1:26" s="11" customFormat="1" x14ac:dyDescent="0.2">
      <c r="A9" s="157" t="str">
        <f>IF(AND(WEEKDAY($B9,2)&lt;&gt;3,VLOOKUP($B9,Info!$AO$7:$AO$17,1)=$B9)," ","")&amp;IF(WEEKDAY(B9,2)=1,INT((B9-(DATE(YEAR(B9+(MOD(8-WEEKDAY(B9),7)-3)),1,1))-3+
MOD(WEEKDAY(DATE(YEAR(B9+(MOD(8-WEEKDAY(B9),7)-3)),1,1))+1,7))/7)+1,"")</f>
        <v>10</v>
      </c>
      <c r="B9" s="68">
        <f t="shared" si="0"/>
        <v>41701</v>
      </c>
      <c r="C9" s="59"/>
      <c r="D9" s="59"/>
      <c r="E9" s="59"/>
      <c r="F9" s="59"/>
      <c r="G9" s="215">
        <f>IF(AND(WEEKDAY(B9,2)&gt;5,$C9=""),"",IF(E9&gt;0,(E9*60+F9)-(C9*60+D9)-H9+TRUNC(Info!$D$10*(I9/100)),IF(MID(C9,1,2)="Fl",0,Info!$D$10))-Info!$D$10)</f>
        <v>0</v>
      </c>
      <c r="H9" s="185">
        <f>IF(AND(Info!$C$46&gt;0,$E9&gt;$C9),Info!$C$46,)</f>
        <v>0</v>
      </c>
      <c r="I9" s="185"/>
      <c r="J9" s="175" t="str">
        <f>" "&amp;Info!AD9</f>
        <v xml:space="preserve"> </v>
      </c>
      <c r="K9" s="323"/>
      <c r="L9" s="338"/>
      <c r="M9" s="327"/>
      <c r="P9" s="243"/>
      <c r="Q9" s="243"/>
      <c r="R9" s="243"/>
      <c r="S9" s="243"/>
      <c r="T9" s="243"/>
      <c r="U9" s="243"/>
      <c r="V9" s="243"/>
      <c r="W9" s="243"/>
      <c r="X9" s="243"/>
      <c r="Y9" s="243"/>
      <c r="Z9" s="243"/>
    </row>
    <row r="10" spans="1:26" s="11" customFormat="1" x14ac:dyDescent="0.2">
      <c r="A10" s="157" t="str">
        <f>IF(AND(WEEKDAY($B10,2)&lt;&gt;3,VLOOKUP($B10,Info!$AO$7:$AO$17,1)=$B10)," ","")&amp;IF(WEEKDAY(B10,2)=1,INT((B10-(DATE(YEAR(B10+(MOD(8-WEEKDAY(B10),7)-3)),1,1))-3+
MOD(WEEKDAY(DATE(YEAR(B10+(MOD(8-WEEKDAY(B10),7)-3)),1,1))+1,7))/7)+1,"")</f>
        <v/>
      </c>
      <c r="B10" s="68">
        <f t="shared" si="0"/>
        <v>41702</v>
      </c>
      <c r="C10" s="59"/>
      <c r="D10" s="59"/>
      <c r="E10" s="59"/>
      <c r="F10" s="59"/>
      <c r="G10" s="215">
        <f>IF(AND(WEEKDAY(B10,2)&gt;5,$C10=""),"",IF(E10&gt;0,(E10*60+F10)-(C10*60+D10)-H10+TRUNC(Info!$D$10*(I10/100)),IF(MID(C10,1,2)="Fl",0,Info!$D$10))-Info!$D$10)</f>
        <v>0</v>
      </c>
      <c r="H10" s="185">
        <f>IF(AND(Info!$C$46&gt;0,$E10&gt;$C10),Info!$C$46,)</f>
        <v>0</v>
      </c>
      <c r="I10" s="185"/>
      <c r="J10" s="175" t="str">
        <f>" "&amp;Info!AD10</f>
        <v xml:space="preserve"> </v>
      </c>
      <c r="K10" s="323"/>
      <c r="L10" s="338"/>
      <c r="M10" s="327"/>
      <c r="P10" s="243"/>
      <c r="Q10" s="243"/>
      <c r="R10" s="243"/>
      <c r="S10" s="243"/>
      <c r="T10" s="243"/>
      <c r="U10" s="243"/>
      <c r="V10" s="243"/>
      <c r="W10" s="243"/>
      <c r="X10" s="243"/>
      <c r="Y10" s="243"/>
      <c r="Z10" s="243"/>
    </row>
    <row r="11" spans="1:26" s="11" customFormat="1" x14ac:dyDescent="0.2">
      <c r="A11" s="157" t="str">
        <f>IF(AND(WEEKDAY($B11,2)&lt;&gt;3,VLOOKUP($B11,Info!$AO$7:$AO$17,1)=$B11)," ","")&amp;IF(WEEKDAY(B11,2)=1,INT((B11-(DATE(YEAR(B11+(MOD(8-WEEKDAY(B11),7)-3)),1,1))-3+
MOD(WEEKDAY(DATE(YEAR(B11+(MOD(8-WEEKDAY(B11),7)-3)),1,1))+1,7))/7)+1,"")</f>
        <v/>
      </c>
      <c r="B11" s="68">
        <f t="shared" si="0"/>
        <v>41703</v>
      </c>
      <c r="C11" s="59"/>
      <c r="D11" s="59"/>
      <c r="E11" s="59"/>
      <c r="F11" s="59"/>
      <c r="G11" s="215">
        <f>IF(AND(WEEKDAY(B11,2)&gt;5,$C11=""),"",IF(E11&gt;0,(E11*60+F11)-(C11*60+D11)-H11+TRUNC(Info!$D$10*(I11/100)),IF(MID(C11,1,2)="Fl",0,Info!$D$10))-Info!$D$10)</f>
        <v>0</v>
      </c>
      <c r="H11" s="185">
        <f>IF(AND(Info!$C$46&gt;0,$E11&gt;$C11),Info!$C$46,)</f>
        <v>0</v>
      </c>
      <c r="I11" s="185"/>
      <c r="J11" s="175" t="str">
        <f>" "&amp;Info!AD11</f>
        <v xml:space="preserve"> </v>
      </c>
      <c r="K11" s="323"/>
      <c r="L11" s="338"/>
      <c r="M11" s="328"/>
      <c r="P11" s="243"/>
      <c r="Q11" s="243"/>
      <c r="R11" s="243"/>
      <c r="S11" s="243"/>
      <c r="T11" s="243"/>
      <c r="U11" s="243"/>
      <c r="V11" s="243"/>
      <c r="W11" s="243"/>
      <c r="X11" s="243"/>
      <c r="Y11" s="243"/>
      <c r="Z11" s="243"/>
    </row>
    <row r="12" spans="1:26" x14ac:dyDescent="0.2">
      <c r="A12" s="157" t="str">
        <f>IF(AND(WEEKDAY($B12,2)&lt;&gt;3,VLOOKUP($B12,Info!$AO$7:$AO$17,1)=$B12)," ","")&amp;IF(WEEKDAY(B12,2)=1,INT((B12-(DATE(YEAR(B12+(MOD(8-WEEKDAY(B12),7)-3)),1,1))-3+
MOD(WEEKDAY(DATE(YEAR(B12+(MOD(8-WEEKDAY(B12),7)-3)),1,1))+1,7))/7)+1,"")</f>
        <v/>
      </c>
      <c r="B12" s="68">
        <f t="shared" si="0"/>
        <v>41704</v>
      </c>
      <c r="C12" s="59"/>
      <c r="D12" s="59"/>
      <c r="E12" s="59"/>
      <c r="F12" s="59"/>
      <c r="G12" s="215">
        <f>IF(AND(WEEKDAY(B12,2)&gt;5,$C12=""),"",IF(E12&gt;0,(E12*60+F12)-(C12*60+D12)-H12+TRUNC(Info!$D$10*(I12/100)),IF(MID(C12,1,2)="Fl",0,Info!$D$10))-Info!$D$10)</f>
        <v>0</v>
      </c>
      <c r="H12" s="185">
        <f>IF(AND(Info!$C$46&gt;0,$E12&gt;$C12),Info!$C$46,)</f>
        <v>0</v>
      </c>
      <c r="I12" s="185"/>
      <c r="J12" s="175" t="str">
        <f>" "&amp;Info!AD12</f>
        <v xml:space="preserve"> </v>
      </c>
      <c r="K12" s="323"/>
      <c r="L12" s="338"/>
      <c r="M12" s="140"/>
    </row>
    <row r="13" spans="1:26" s="11" customFormat="1" x14ac:dyDescent="0.2">
      <c r="A13" s="157" t="str">
        <f>IF(AND(WEEKDAY($B13,2)&lt;&gt;3,VLOOKUP($B13,Info!$AO$7:$AO$17,1)=$B13)," ","")&amp;IF(WEEKDAY(B13,2)=1,INT((B13-(DATE(YEAR(B13+(MOD(8-WEEKDAY(B13),7)-3)),1,1))-3+
MOD(WEEKDAY(DATE(YEAR(B13+(MOD(8-WEEKDAY(B13),7)-3)),1,1))+1,7))/7)+1,"")</f>
        <v/>
      </c>
      <c r="B13" s="68">
        <f t="shared" si="0"/>
        <v>41705</v>
      </c>
      <c r="C13" s="59"/>
      <c r="D13" s="59"/>
      <c r="E13" s="59"/>
      <c r="F13" s="59"/>
      <c r="G13" s="215">
        <f>IF(AND(WEEKDAY(B13,2)&gt;5,$C13=""),"",IF(E13&gt;0,(E13*60+F13)-(C13*60+D13)-H13+TRUNC(Info!$D$10*(I13/100)),IF(MID(C13,1,2)="Fl",0,Info!$D$10))-Info!$D$10)</f>
        <v>0</v>
      </c>
      <c r="H13" s="185">
        <f>IF(AND(Info!$C$46&gt;0,$E13&gt;$C13),Info!$C$46,)</f>
        <v>0</v>
      </c>
      <c r="I13" s="185"/>
      <c r="J13" s="175" t="str">
        <f>" "&amp;Info!AD13</f>
        <v xml:space="preserve"> </v>
      </c>
      <c r="K13" s="323"/>
      <c r="L13" s="338"/>
      <c r="M13" s="327"/>
      <c r="P13" s="243"/>
      <c r="Q13" s="243"/>
      <c r="R13" s="243"/>
      <c r="S13" s="243"/>
      <c r="T13" s="243"/>
      <c r="U13" s="243"/>
      <c r="V13" s="243"/>
      <c r="W13" s="243"/>
      <c r="X13" s="243"/>
      <c r="Y13" s="243"/>
      <c r="Z13" s="243"/>
    </row>
    <row r="14" spans="1:26" s="11" customFormat="1" x14ac:dyDescent="0.2">
      <c r="A14" s="157" t="str">
        <f>IF(AND(WEEKDAY($B14,2)&lt;&gt;3,VLOOKUP($B14,Info!$AO$7:$AO$17,1)=$B14)," ","")&amp;IF(WEEKDAY(B14,2)=1,INT((B14-(DATE(YEAR(B14+(MOD(8-WEEKDAY(B14),7)-3)),1,1))-3+
MOD(WEEKDAY(DATE(YEAR(B14+(MOD(8-WEEKDAY(B14),7)-3)),1,1))+1,7))/7)+1,"")</f>
        <v/>
      </c>
      <c r="B14" s="68">
        <f t="shared" si="0"/>
        <v>41706</v>
      </c>
      <c r="C14" s="59"/>
      <c r="D14" s="59"/>
      <c r="E14" s="59"/>
      <c r="F14" s="59"/>
      <c r="G14" s="215" t="str">
        <f>IF(AND(WEEKDAY(B14,2)&gt;5,$C14=""),"",IF(E14&gt;0,(E14*60+F14)-(C14*60+D14)-H14+TRUNC(Info!$D$10*(I14/100)),IF(MID(C14,1,2)="Fl",0,Info!$D$10))-Info!$D$10)</f>
        <v/>
      </c>
      <c r="H14" s="185">
        <f>IF(AND(Info!$C$46&gt;0,$E14&gt;$C14),Info!$C$46,)</f>
        <v>0</v>
      </c>
      <c r="I14" s="185"/>
      <c r="J14" s="175" t="str">
        <f>" "&amp;Info!AD14</f>
        <v xml:space="preserve"> Kvinnedagen</v>
      </c>
      <c r="K14" s="323"/>
      <c r="L14" s="338"/>
      <c r="M14" s="327"/>
      <c r="P14" s="243"/>
      <c r="Q14" s="243"/>
      <c r="R14" s="243"/>
      <c r="S14" s="243"/>
      <c r="T14" s="243"/>
      <c r="U14" s="243"/>
      <c r="V14" s="243"/>
      <c r="W14" s="243"/>
      <c r="X14" s="243"/>
      <c r="Y14" s="243"/>
      <c r="Z14" s="243"/>
    </row>
    <row r="15" spans="1:26" s="11" customFormat="1" x14ac:dyDescent="0.2">
      <c r="A15" s="157" t="str">
        <f>IF(AND(WEEKDAY($B15,2)&lt;&gt;3,VLOOKUP($B15,Info!$AO$7:$AO$17,1)=$B15)," ","")&amp;IF(WEEKDAY(B15,2)=1,INT((B15-(DATE(YEAR(B15+(MOD(8-WEEKDAY(B15),7)-3)),1,1))-3+
MOD(WEEKDAY(DATE(YEAR(B15+(MOD(8-WEEKDAY(B15),7)-3)),1,1))+1,7))/7)+1,"")</f>
        <v/>
      </c>
      <c r="B15" s="68">
        <f t="shared" si="0"/>
        <v>41707</v>
      </c>
      <c r="C15" s="59"/>
      <c r="D15" s="59"/>
      <c r="E15" s="59"/>
      <c r="F15" s="59"/>
      <c r="G15" s="215" t="str">
        <f>IF(AND(WEEKDAY(B15,2)&gt;5,$C15=""),"",IF(E15&gt;0,(E15*60+F15)-(C15*60+D15)-H15+TRUNC(Info!$D$10*(I15/100)),IF(MID(C15,1,2)="Fl",0,Info!$D$10))-Info!$D$10)</f>
        <v/>
      </c>
      <c r="H15" s="185">
        <f>IF(AND(Info!$C$46&gt;0,$E15&gt;$C15),Info!$C$46,)</f>
        <v>0</v>
      </c>
      <c r="I15" s="185"/>
      <c r="J15" s="175" t="str">
        <f>" "&amp;Info!AD15</f>
        <v xml:space="preserve"> </v>
      </c>
      <c r="K15" s="323"/>
      <c r="L15" s="338"/>
      <c r="M15" s="327"/>
      <c r="P15" s="243"/>
      <c r="Q15" s="243"/>
      <c r="R15" s="243"/>
      <c r="S15" s="243"/>
      <c r="T15" s="243"/>
      <c r="U15" s="243"/>
      <c r="V15" s="243"/>
      <c r="W15" s="243"/>
      <c r="X15" s="243"/>
      <c r="Y15" s="243"/>
      <c r="Z15" s="243"/>
    </row>
    <row r="16" spans="1:26" s="11" customFormat="1" x14ac:dyDescent="0.2">
      <c r="A16" s="157" t="str">
        <f>IF(AND(WEEKDAY($B16,2)&lt;&gt;3,VLOOKUP($B16,Info!$AO$7:$AO$17,1)=$B16)," ","")&amp;IF(WEEKDAY(B16,2)=1,INT((B16-(DATE(YEAR(B16+(MOD(8-WEEKDAY(B16),7)-3)),1,1))-3+
MOD(WEEKDAY(DATE(YEAR(B16+(MOD(8-WEEKDAY(B16),7)-3)),1,1))+1,7))/7)+1,"")</f>
        <v>11</v>
      </c>
      <c r="B16" s="68">
        <f t="shared" si="0"/>
        <v>41708</v>
      </c>
      <c r="C16" s="59"/>
      <c r="D16" s="59"/>
      <c r="E16" s="59"/>
      <c r="F16" s="59"/>
      <c r="G16" s="215">
        <f>IF(AND(WEEKDAY(B16,2)&gt;5,$C16=""),"",IF(E16&gt;0,(E16*60+F16)-(C16*60+D16)-H16+TRUNC(Info!$D$10*(I16/100)),IF(MID(C16,1,2)="Fl",0,Info!$D$10))-Info!$D$10)</f>
        <v>0</v>
      </c>
      <c r="H16" s="185">
        <f>IF(AND(Info!$C$46&gt;0,$E16&gt;$C16),Info!$C$46,)</f>
        <v>0</v>
      </c>
      <c r="I16" s="185"/>
      <c r="J16" s="175" t="str">
        <f>" "&amp;Info!AD16</f>
        <v xml:space="preserve"> </v>
      </c>
      <c r="K16" s="323"/>
      <c r="L16" s="338"/>
      <c r="M16" s="327"/>
      <c r="P16" s="243"/>
      <c r="Q16" s="243"/>
      <c r="R16" s="243"/>
      <c r="S16" s="243"/>
      <c r="T16" s="243"/>
      <c r="U16" s="243"/>
      <c r="V16" s="243"/>
      <c r="W16" s="243"/>
      <c r="X16" s="243"/>
      <c r="Y16" s="243"/>
      <c r="Z16" s="243"/>
    </row>
    <row r="17" spans="1:26" s="11" customFormat="1" x14ac:dyDescent="0.2">
      <c r="A17" s="157" t="str">
        <f>IF(AND(WEEKDAY($B17,2)&lt;&gt;3,VLOOKUP($B17,Info!$AO$7:$AO$17,1)=$B17)," ","")&amp;IF(WEEKDAY(B17,2)=1,INT((B17-(DATE(YEAR(B17+(MOD(8-WEEKDAY(B17),7)-3)),1,1))-3+
MOD(WEEKDAY(DATE(YEAR(B17+(MOD(8-WEEKDAY(B17),7)-3)),1,1))+1,7))/7)+1,"")</f>
        <v/>
      </c>
      <c r="B17" s="68">
        <f t="shared" si="0"/>
        <v>41709</v>
      </c>
      <c r="C17" s="59"/>
      <c r="D17" s="59"/>
      <c r="E17" s="59"/>
      <c r="F17" s="59"/>
      <c r="G17" s="215">
        <f>IF(AND(WEEKDAY(B17,2)&gt;5,$C17=""),"",IF(E17&gt;0,(E17*60+F17)-(C17*60+D17)-H17+TRUNC(Info!$D$10*(I17/100)),IF(MID(C17,1,2)="Fl",0,Info!$D$10))-Info!$D$10)</f>
        <v>0</v>
      </c>
      <c r="H17" s="185">
        <f>IF(AND(Info!$C$46&gt;0,$E17&gt;$C17),Info!$C$46,)</f>
        <v>0</v>
      </c>
      <c r="I17" s="185"/>
      <c r="J17" s="175" t="str">
        <f>" "&amp;Info!AD17</f>
        <v xml:space="preserve"> </v>
      </c>
      <c r="K17" s="323"/>
      <c r="L17" s="338"/>
      <c r="M17" s="327"/>
      <c r="P17" s="243"/>
      <c r="Q17" s="243"/>
      <c r="R17" s="243"/>
      <c r="S17" s="243"/>
      <c r="T17" s="243"/>
      <c r="U17" s="243"/>
      <c r="V17" s="243"/>
      <c r="W17" s="243"/>
      <c r="X17" s="243"/>
      <c r="Y17" s="243"/>
      <c r="Z17" s="243"/>
    </row>
    <row r="18" spans="1:26" s="11" customFormat="1" x14ac:dyDescent="0.2">
      <c r="A18" s="157" t="str">
        <f>IF(AND(WEEKDAY($B18,2)&lt;&gt;3,VLOOKUP($B18,Info!$AO$7:$AO$17,1)=$B18)," ","")&amp;IF(WEEKDAY(B18,2)=1,INT((B18-(DATE(YEAR(B18+(MOD(8-WEEKDAY(B18),7)-3)),1,1))-3+
MOD(WEEKDAY(DATE(YEAR(B18+(MOD(8-WEEKDAY(B18),7)-3)),1,1))+1,7))/7)+1,"")</f>
        <v/>
      </c>
      <c r="B18" s="68">
        <f t="shared" si="0"/>
        <v>41710</v>
      </c>
      <c r="C18" s="59"/>
      <c r="D18" s="59"/>
      <c r="E18" s="59"/>
      <c r="F18" s="59"/>
      <c r="G18" s="215">
        <f>IF(AND(WEEKDAY(B18,2)&gt;5,$C18=""),"",IF(E18&gt;0,(E18*60+F18)-(C18*60+D18)-H18+TRUNC(Info!$D$10*(I18/100)),IF(MID(C18,1,2)="Fl",0,Info!$D$10))-Info!$D$10)</f>
        <v>0</v>
      </c>
      <c r="H18" s="185">
        <f>IF(AND(Info!$C$46&gt;0,$E18&gt;$C18),Info!$C$46,)</f>
        <v>0</v>
      </c>
      <c r="I18" s="185"/>
      <c r="J18" s="175" t="str">
        <f>" "&amp;Info!AD18</f>
        <v xml:space="preserve"> </v>
      </c>
      <c r="K18" s="323"/>
      <c r="L18" s="338"/>
      <c r="M18" s="327"/>
      <c r="P18" s="243"/>
      <c r="Q18" s="243"/>
      <c r="R18" s="243"/>
      <c r="S18" s="243"/>
      <c r="T18" s="243"/>
      <c r="U18" s="243"/>
      <c r="V18" s="243"/>
      <c r="W18" s="243"/>
      <c r="X18" s="243"/>
      <c r="Y18" s="243"/>
      <c r="Z18" s="243"/>
    </row>
    <row r="19" spans="1:26" s="11" customFormat="1" x14ac:dyDescent="0.2">
      <c r="A19" s="157" t="str">
        <f>IF(AND(WEEKDAY($B19,2)&lt;&gt;3,VLOOKUP($B19,Info!$AO$7:$AO$17,1)=$B19)," ","")&amp;IF(WEEKDAY(B19,2)=1,INT((B19-(DATE(YEAR(B19+(MOD(8-WEEKDAY(B19),7)-3)),1,1))-3+
MOD(WEEKDAY(DATE(YEAR(B19+(MOD(8-WEEKDAY(B19),7)-3)),1,1))+1,7))/7)+1,"")</f>
        <v/>
      </c>
      <c r="B19" s="68">
        <f t="shared" si="0"/>
        <v>41711</v>
      </c>
      <c r="C19" s="59"/>
      <c r="D19" s="59"/>
      <c r="E19" s="59"/>
      <c r="F19" s="59"/>
      <c r="G19" s="215">
        <f>IF(AND(WEEKDAY(B19,2)&gt;5,$C19=""),"",IF(E19&gt;0,(E19*60+F19)-(C19*60+D19)-H19+TRUNC(Info!$D$10*(I19/100)),IF(MID(C19,1,2)="Fl",0,Info!$D$10))-Info!$D$10)</f>
        <v>0</v>
      </c>
      <c r="H19" s="185">
        <f>IF(AND(Info!$C$46&gt;0,$E19&gt;$C19),Info!$C$46,)</f>
        <v>0</v>
      </c>
      <c r="I19" s="185"/>
      <c r="J19" s="175" t="str">
        <f>" "&amp;Info!AD19</f>
        <v xml:space="preserve"> </v>
      </c>
      <c r="K19" s="323"/>
      <c r="L19" s="338"/>
      <c r="M19" s="327"/>
      <c r="P19" s="243"/>
      <c r="Q19" s="243"/>
      <c r="R19" s="243"/>
      <c r="S19" s="243"/>
      <c r="T19" s="243"/>
      <c r="U19" s="243"/>
      <c r="V19" s="243"/>
      <c r="W19" s="243"/>
      <c r="X19" s="243"/>
      <c r="Y19" s="243"/>
      <c r="Z19" s="243"/>
    </row>
    <row r="20" spans="1:26" s="11" customFormat="1" x14ac:dyDescent="0.2">
      <c r="A20" s="157" t="str">
        <f>IF(AND(WEEKDAY($B20,2)&lt;&gt;3,VLOOKUP($B20,Info!$AO$7:$AO$17,1)=$B20)," ","")&amp;IF(WEEKDAY(B20,2)=1,INT((B20-(DATE(YEAR(B20+(MOD(8-WEEKDAY(B20),7)-3)),1,1))-3+
MOD(WEEKDAY(DATE(YEAR(B20+(MOD(8-WEEKDAY(B20),7)-3)),1,1))+1,7))/7)+1,"")</f>
        <v/>
      </c>
      <c r="B20" s="68">
        <f t="shared" si="0"/>
        <v>41712</v>
      </c>
      <c r="C20" s="59"/>
      <c r="D20" s="59"/>
      <c r="E20" s="59"/>
      <c r="F20" s="59"/>
      <c r="G20" s="215">
        <f>IF(AND(WEEKDAY(B20,2)&gt;5,$C20=""),"",IF(E20&gt;0,(E20*60+F20)-(C20*60+D20)-H20+TRUNC(Info!$D$10*(I20/100)),IF(MID(C20,1,2)="Fl",0,Info!$D$10))-Info!$D$10)</f>
        <v>0</v>
      </c>
      <c r="H20" s="185">
        <f>IF(AND(Info!$C$46&gt;0,$E20&gt;$C20),Info!$C$46,)</f>
        <v>0</v>
      </c>
      <c r="I20" s="185"/>
      <c r="J20" s="175" t="str">
        <f>" "&amp;Info!AD20</f>
        <v xml:space="preserve"> </v>
      </c>
      <c r="K20" s="323"/>
      <c r="L20" s="338"/>
      <c r="M20" s="327"/>
      <c r="P20" s="243"/>
      <c r="Q20" s="243"/>
      <c r="R20" s="243"/>
      <c r="S20" s="243"/>
      <c r="T20" s="243"/>
      <c r="U20" s="243"/>
      <c r="V20" s="243"/>
      <c r="W20" s="243"/>
      <c r="X20" s="243"/>
      <c r="Y20" s="243"/>
      <c r="Z20" s="243"/>
    </row>
    <row r="21" spans="1:26" s="11" customFormat="1" x14ac:dyDescent="0.2">
      <c r="A21" s="157" t="str">
        <f>IF(AND(WEEKDAY($B21,2)&lt;&gt;3,VLOOKUP($B21,Info!$AO$7:$AO$17,1)=$B21)," ","")&amp;IF(WEEKDAY(B21,2)=1,INT((B21-(DATE(YEAR(B21+(MOD(8-WEEKDAY(B21),7)-3)),1,1))-3+
MOD(WEEKDAY(DATE(YEAR(B21+(MOD(8-WEEKDAY(B21),7)-3)),1,1))+1,7))/7)+1,"")</f>
        <v/>
      </c>
      <c r="B21" s="68">
        <f t="shared" si="0"/>
        <v>41713</v>
      </c>
      <c r="C21" s="59"/>
      <c r="D21" s="59"/>
      <c r="E21" s="59"/>
      <c r="F21" s="59"/>
      <c r="G21" s="215" t="str">
        <f>IF(AND(WEEKDAY(B21,2)&gt;5,$C21=""),"",IF(E21&gt;0,(E21*60+F21)-(C21*60+D21)-H21+TRUNC(Info!$D$10*(I21/100)),IF(MID(C21,1,2)="Fl",0,Info!$D$10))-Info!$D$10)</f>
        <v/>
      </c>
      <c r="H21" s="185">
        <f>IF(AND(Info!$C$46&gt;0,$E21&gt;$C21),Info!$C$46,)</f>
        <v>0</v>
      </c>
      <c r="I21" s="185"/>
      <c r="J21" s="175" t="str">
        <f>" "&amp;Info!AD21</f>
        <v xml:space="preserve"> </v>
      </c>
      <c r="K21" s="323"/>
      <c r="L21" s="338"/>
      <c r="M21" s="327"/>
      <c r="P21" s="243"/>
      <c r="Q21" s="243"/>
      <c r="R21" s="243"/>
      <c r="S21" s="243"/>
      <c r="T21" s="243"/>
      <c r="U21" s="243"/>
      <c r="V21" s="243"/>
      <c r="W21" s="243"/>
      <c r="X21" s="243"/>
      <c r="Y21" s="243"/>
      <c r="Z21" s="243"/>
    </row>
    <row r="22" spans="1:26" s="11" customFormat="1" x14ac:dyDescent="0.2">
      <c r="A22" s="157" t="str">
        <f>IF(AND(WEEKDAY($B22,2)&lt;&gt;3,VLOOKUP($B22,Info!$AO$7:$AO$17,1)=$B22)," ","")&amp;IF(WEEKDAY(B22,2)=1,INT((B22-(DATE(YEAR(B22+(MOD(8-WEEKDAY(B22),7)-3)),1,1))-3+
MOD(WEEKDAY(DATE(YEAR(B22+(MOD(8-WEEKDAY(B22),7)-3)),1,1))+1,7))/7)+1,"")</f>
        <v/>
      </c>
      <c r="B22" s="68">
        <f t="shared" si="0"/>
        <v>41714</v>
      </c>
      <c r="C22" s="59"/>
      <c r="D22" s="59"/>
      <c r="E22" s="59"/>
      <c r="F22" s="59"/>
      <c r="G22" s="215" t="str">
        <f>IF(AND(WEEKDAY(B22,2)&gt;5,$C22=""),"",IF(E22&gt;0,(E22*60+F22)-(C22*60+D22)-H22+TRUNC(Info!$D$10*(I22/100)),IF(MID(C22,1,2)="Fl",0,Info!$D$10))-Info!$D$10)</f>
        <v/>
      </c>
      <c r="H22" s="185">
        <f>IF(AND(Info!$C$46&gt;0,$E22&gt;$C22),Info!$C$46,)</f>
        <v>0</v>
      </c>
      <c r="I22" s="185"/>
      <c r="J22" s="175" t="str">
        <f>" "&amp;Info!AD22</f>
        <v xml:space="preserve"> </v>
      </c>
      <c r="K22" s="323"/>
      <c r="L22" s="338"/>
      <c r="M22" s="327"/>
      <c r="P22" s="243"/>
      <c r="Q22" s="243"/>
      <c r="R22" s="243"/>
      <c r="S22" s="243"/>
      <c r="T22" s="243"/>
      <c r="U22" s="243"/>
      <c r="V22" s="243"/>
      <c r="W22" s="243"/>
      <c r="X22" s="243"/>
      <c r="Y22" s="243"/>
      <c r="Z22" s="243"/>
    </row>
    <row r="23" spans="1:26" s="11" customFormat="1" x14ac:dyDescent="0.2">
      <c r="A23" s="157" t="str">
        <f>IF(AND(WEEKDAY($B23,2)&lt;&gt;3,VLOOKUP($B23,Info!$AO$7:$AO$17,1)=$B23)," ","")&amp;IF(WEEKDAY(B23,2)=1,INT((B23-(DATE(YEAR(B23+(MOD(8-WEEKDAY(B23),7)-3)),1,1))-3+
MOD(WEEKDAY(DATE(YEAR(B23+(MOD(8-WEEKDAY(B23),7)-3)),1,1))+1,7))/7)+1,"")</f>
        <v>12</v>
      </c>
      <c r="B23" s="68">
        <f t="shared" si="0"/>
        <v>41715</v>
      </c>
      <c r="C23" s="59"/>
      <c r="D23" s="59"/>
      <c r="E23" s="59"/>
      <c r="F23" s="59"/>
      <c r="G23" s="215">
        <f>IF(AND(WEEKDAY(B23,2)&gt;5,$C23=""),"",IF(E23&gt;0,(E23*60+F23)-(C23*60+D23)-H23+TRUNC(Info!$D$10*(I23/100)),IF(MID(C23,1,2)="Fl",0,Info!$D$10))-Info!$D$10)</f>
        <v>0</v>
      </c>
      <c r="H23" s="185">
        <f>IF(AND(Info!$C$46&gt;0,$E23&gt;$C23),Info!$C$46,)</f>
        <v>0</v>
      </c>
      <c r="I23" s="185"/>
      <c r="J23" s="175" t="str">
        <f>" "&amp;Info!AD23</f>
        <v xml:space="preserve"> </v>
      </c>
      <c r="K23" s="323"/>
      <c r="L23" s="338"/>
      <c r="M23" s="327"/>
      <c r="P23" s="243"/>
      <c r="Q23" s="243"/>
      <c r="R23" s="243"/>
      <c r="S23" s="243"/>
      <c r="T23" s="243"/>
      <c r="U23" s="243"/>
      <c r="V23" s="243"/>
      <c r="W23" s="243"/>
      <c r="X23" s="243"/>
      <c r="Y23" s="243"/>
      <c r="Z23" s="243"/>
    </row>
    <row r="24" spans="1:26" s="11" customFormat="1" x14ac:dyDescent="0.2">
      <c r="A24" s="157" t="str">
        <f>IF(AND(WEEKDAY($B24,2)&lt;&gt;3,VLOOKUP($B24,Info!$AO$7:$AO$17,1)=$B24)," ","")&amp;IF(WEEKDAY(B24,2)=1,INT((B24-(DATE(YEAR(B24+(MOD(8-WEEKDAY(B24),7)-3)),1,1))-3+
MOD(WEEKDAY(DATE(YEAR(B24+(MOD(8-WEEKDAY(B24),7)-3)),1,1))+1,7))/7)+1,"")</f>
        <v/>
      </c>
      <c r="B24" s="68">
        <f t="shared" si="0"/>
        <v>41716</v>
      </c>
      <c r="C24" s="59"/>
      <c r="D24" s="59"/>
      <c r="E24" s="59"/>
      <c r="F24" s="59"/>
      <c r="G24" s="216">
        <f>IF(AND(OR(WEEKDAY(B24,2)&gt;5,LEFT(A24,1)=" "),$C24=""),"",IF(E24&gt;0,(E24*60+F24)-(C24*60+D24)-H24+TRUNC(Info!$D$10*(I24/100)),IF(MID(C24,1,2)="Fl",0,Info!AD58))-Info!AD58)</f>
        <v>0</v>
      </c>
      <c r="H24" s="185">
        <f>IF(AND(Info!$C$46&gt;0,$E24&gt;$C24),IF(Info!AD58=Info!$D$12,,Info!$C$46),)</f>
        <v>0</v>
      </c>
      <c r="I24" s="185"/>
      <c r="J24" s="175" t="str">
        <f>" "&amp;Info!AD24</f>
        <v xml:space="preserve"> </v>
      </c>
      <c r="K24" s="334"/>
      <c r="L24" s="343"/>
      <c r="M24" s="327"/>
      <c r="P24" s="243"/>
      <c r="Q24" s="243"/>
      <c r="R24" s="243"/>
      <c r="S24" s="243"/>
      <c r="T24" s="243"/>
      <c r="U24" s="243"/>
      <c r="V24" s="243"/>
      <c r="W24" s="243"/>
      <c r="X24" s="243"/>
      <c r="Y24" s="243"/>
      <c r="Z24" s="243"/>
    </row>
    <row r="25" spans="1:26" s="11" customFormat="1" x14ac:dyDescent="0.2">
      <c r="A25" s="157" t="str">
        <f>IF(AND(WEEKDAY($B25,2)&lt;&gt;3,VLOOKUP($B25,Info!$AO$7:$AO$17,1)=$B25)," ","")&amp;IF(WEEKDAY(B25,2)=1,INT((B25-(DATE(YEAR(B25+(MOD(8-WEEKDAY(B25),7)-3)),1,1))-3+
MOD(WEEKDAY(DATE(YEAR(B25+(MOD(8-WEEKDAY(B25),7)-3)),1,1))+1,7))/7)+1,"")</f>
        <v/>
      </c>
      <c r="B25" s="68">
        <f t="shared" si="0"/>
        <v>41717</v>
      </c>
      <c r="C25" s="59"/>
      <c r="D25" s="59"/>
      <c r="E25" s="59"/>
      <c r="F25" s="59"/>
      <c r="G25" s="216">
        <f>IF(AND(OR(WEEKDAY(B25,2)&gt;5,LEFT(A25,1)=" "),$C25=""),"",IF(E25&gt;0,(E25*60+F25)-(C25*60+D25)-H25+TRUNC(Info!$D$10*(I25/100)),IF(MID(C25,1,2)="Fl",0,Info!AD59))-Info!AD59)</f>
        <v>0</v>
      </c>
      <c r="H25" s="185">
        <f>IF(AND(Info!$C$46&gt;0,$E25&gt;$C25),IF(Info!AD59=Info!$D$12,,Info!$C$46),)</f>
        <v>0</v>
      </c>
      <c r="I25" s="185"/>
      <c r="J25" s="175" t="str">
        <f>" "&amp;Info!AD25</f>
        <v xml:space="preserve"> </v>
      </c>
      <c r="K25" s="323"/>
      <c r="L25" s="338"/>
      <c r="M25" s="327"/>
      <c r="P25" s="243"/>
      <c r="Q25" s="243"/>
      <c r="R25" s="243"/>
      <c r="S25" s="243"/>
      <c r="T25" s="243"/>
      <c r="U25" s="243"/>
      <c r="V25" s="243"/>
      <c r="W25" s="243"/>
      <c r="X25" s="243"/>
      <c r="Y25" s="243"/>
      <c r="Z25" s="243"/>
    </row>
    <row r="26" spans="1:26" s="11" customFormat="1" x14ac:dyDescent="0.2">
      <c r="A26" s="157" t="str">
        <f>IF(AND(WEEKDAY($B26,2)&lt;&gt;3,VLOOKUP($B26,Info!$AO$7:$AO$17,1)=$B26)," ","")&amp;IF(WEEKDAY(B26,2)=1,INT((B26-(DATE(YEAR(B26+(MOD(8-WEEKDAY(B26),7)-3)),1,1))-3+
MOD(WEEKDAY(DATE(YEAR(B26+(MOD(8-WEEKDAY(B26),7)-3)),1,1))+1,7))/7)+1,"")</f>
        <v/>
      </c>
      <c r="B26" s="68">
        <f t="shared" si="0"/>
        <v>41718</v>
      </c>
      <c r="C26" s="59"/>
      <c r="D26" s="59"/>
      <c r="E26" s="59"/>
      <c r="F26" s="59"/>
      <c r="G26" s="216">
        <f>IF(AND(OR(WEEKDAY(B26,2)&gt;5,LEFT(A26,1)=" "),$C26=""),"",IF(E26&gt;0,(E26*60+F26)-(C26*60+D26)-H26+TRUNC(Info!$D$10*(I26/100)),IF(MID(C26,1,2)="Fl",0,Info!AD60))-Info!AD60)</f>
        <v>0</v>
      </c>
      <c r="H26" s="185">
        <f>IF(AND(Info!$C$46&gt;0,$E26&gt;$C26),IF(Info!AD60=Info!$D$12,,Info!$C$46),)</f>
        <v>0</v>
      </c>
      <c r="I26" s="185"/>
      <c r="J26" s="175" t="str">
        <f>" "&amp;Info!AD26</f>
        <v xml:space="preserve"> </v>
      </c>
      <c r="K26" s="323"/>
      <c r="L26" s="338"/>
      <c r="M26" s="327"/>
      <c r="P26" s="243"/>
      <c r="Q26" s="243"/>
      <c r="R26" s="243"/>
      <c r="S26" s="243"/>
      <c r="T26" s="243"/>
      <c r="U26" s="243"/>
      <c r="V26" s="243"/>
      <c r="W26" s="243"/>
      <c r="X26" s="243"/>
      <c r="Y26" s="243"/>
      <c r="Z26" s="243"/>
    </row>
    <row r="27" spans="1:26" s="11" customFormat="1" x14ac:dyDescent="0.2">
      <c r="A27" s="157" t="str">
        <f>IF(AND(WEEKDAY($B27,2)&lt;&gt;3,VLOOKUP($B27,Info!$AO$7:$AO$17,1)=$B27)," ","")&amp;IF(WEEKDAY(B27,2)=1,INT((B27-(DATE(YEAR(B27+(MOD(8-WEEKDAY(B27),7)-3)),1,1))-3+
MOD(WEEKDAY(DATE(YEAR(B27+(MOD(8-WEEKDAY(B27),7)-3)),1,1))+1,7))/7)+1,"")</f>
        <v/>
      </c>
      <c r="B27" s="68">
        <f t="shared" si="0"/>
        <v>41719</v>
      </c>
      <c r="C27" s="59"/>
      <c r="D27" s="59"/>
      <c r="E27" s="59"/>
      <c r="F27" s="59"/>
      <c r="G27" s="216">
        <f>IF(AND(OR(WEEKDAY(B27,2)&gt;5,LEFT(A27,1)=" "),$C27=""),"",IF(E27&gt;0,(E27*60+F27)-(C27*60+D27)-H27+TRUNC(Info!$D$10*(I27/100)),IF(MID(C27,1,2)="Fl",0,Info!AD61))-Info!AD61)</f>
        <v>0</v>
      </c>
      <c r="H27" s="185">
        <f>IF(AND(Info!$C$46&gt;0,$E27&gt;$C27),IF(Info!AD61=Info!$D$12,,Info!$C$46),)</f>
        <v>0</v>
      </c>
      <c r="I27" s="185"/>
      <c r="J27" s="175" t="str">
        <f>" "&amp;Info!AD27</f>
        <v xml:space="preserve"> </v>
      </c>
      <c r="K27" s="323"/>
      <c r="L27" s="338"/>
      <c r="M27" s="327"/>
      <c r="P27" s="243"/>
      <c r="Q27" s="243"/>
      <c r="R27" s="243"/>
      <c r="S27" s="243"/>
      <c r="T27" s="243"/>
      <c r="U27" s="243"/>
      <c r="V27" s="243"/>
      <c r="W27" s="243"/>
      <c r="X27" s="243"/>
      <c r="Y27" s="243"/>
      <c r="Z27" s="243"/>
    </row>
    <row r="28" spans="1:26" s="11" customFormat="1" x14ac:dyDescent="0.2">
      <c r="A28" s="157" t="str">
        <f>IF(AND(WEEKDAY($B28,2)&lt;&gt;3,VLOOKUP($B28,Info!$AO$7:$AO$17,1)=$B28)," ","")&amp;IF(WEEKDAY(B28,2)=1,INT((B28-(DATE(YEAR(B28+(MOD(8-WEEKDAY(B28),7)-3)),1,1))-3+
MOD(WEEKDAY(DATE(YEAR(B28+(MOD(8-WEEKDAY(B28),7)-3)),1,1))+1,7))/7)+1,"")</f>
        <v/>
      </c>
      <c r="B28" s="68">
        <f t="shared" si="0"/>
        <v>41720</v>
      </c>
      <c r="C28" s="59"/>
      <c r="D28" s="59"/>
      <c r="E28" s="59"/>
      <c r="F28" s="59"/>
      <c r="G28" s="216" t="str">
        <f>IF(AND(OR(WEEKDAY(B28,2)&gt;5,LEFT(A28,1)=" "),$C28=""),"",IF(E28&gt;0,(E28*60+F28)-(C28*60+D28)-H28+TRUNC(Info!$D$10*(I28/100)),IF(MID(C28,1,2)="Fl",0,Info!AD62))-Info!AD62)</f>
        <v/>
      </c>
      <c r="H28" s="185">
        <f>IF(AND(Info!$C$46&gt;0,$E28&gt;$C28),IF(Info!AD62=Info!$D$12,,Info!$C$46),)</f>
        <v>0</v>
      </c>
      <c r="I28" s="185"/>
      <c r="J28" s="175" t="str">
        <f>" "&amp;Info!AD28</f>
        <v xml:space="preserve"> </v>
      </c>
      <c r="K28" s="323"/>
      <c r="L28" s="338"/>
      <c r="M28" s="327"/>
      <c r="P28" s="243"/>
      <c r="Q28" s="243"/>
      <c r="R28" s="243"/>
      <c r="S28" s="243"/>
      <c r="T28" s="243"/>
      <c r="U28" s="243"/>
      <c r="V28" s="243"/>
      <c r="W28" s="243"/>
      <c r="X28" s="243"/>
      <c r="Y28" s="243"/>
      <c r="Z28" s="243"/>
    </row>
    <row r="29" spans="1:26" s="11" customFormat="1" x14ac:dyDescent="0.2">
      <c r="A29" s="157" t="str">
        <f>IF(AND(WEEKDAY($B29,2)&lt;&gt;3,VLOOKUP($B29,Info!$AO$7:$AO$17,1)=$B29)," ","")&amp;IF(WEEKDAY(B29,2)=1,INT((B29-(DATE(YEAR(B29+(MOD(8-WEEKDAY(B29),7)-3)),1,1))-3+
MOD(WEEKDAY(DATE(YEAR(B29+(MOD(8-WEEKDAY(B29),7)-3)),1,1))+1,7))/7)+1,"")</f>
        <v/>
      </c>
      <c r="B29" s="68">
        <f t="shared" si="0"/>
        <v>41721</v>
      </c>
      <c r="C29" s="59"/>
      <c r="D29" s="59"/>
      <c r="E29" s="59"/>
      <c r="F29" s="59"/>
      <c r="G29" s="216" t="str">
        <f>IF(AND(OR(WEEKDAY(B29,2)&gt;5,LEFT(A29,1)=" "),$C29=""),"",IF(E29&gt;0,(E29*60+F29)-(C29*60+D29)-H29+TRUNC(Info!$D$10*(I29/100)),IF(MID(C29,1,2)="Fl",0,Info!AD63))-Info!AD63)</f>
        <v/>
      </c>
      <c r="H29" s="185">
        <f>IF(AND(Info!$C$46&gt;0,$E29&gt;$C29),IF(Info!AD63=Info!$D$12,,Info!$C$46),)</f>
        <v>0</v>
      </c>
      <c r="I29" s="185"/>
      <c r="J29" s="175" t="str">
        <f>" "&amp;Info!AD29</f>
        <v xml:space="preserve"> </v>
      </c>
      <c r="K29" s="323"/>
      <c r="L29" s="338"/>
      <c r="M29" s="327"/>
      <c r="P29" s="243"/>
      <c r="Q29" s="243"/>
      <c r="R29" s="243"/>
      <c r="S29" s="243"/>
      <c r="T29" s="243"/>
      <c r="U29" s="243"/>
      <c r="V29" s="243"/>
      <c r="W29" s="243"/>
      <c r="X29" s="243"/>
      <c r="Y29" s="243"/>
      <c r="Z29" s="243"/>
    </row>
    <row r="30" spans="1:26" s="11" customFormat="1" x14ac:dyDescent="0.2">
      <c r="A30" s="157" t="str">
        <f>IF(AND(WEEKDAY($B30,2)&lt;&gt;3,VLOOKUP($B30,Info!$AO$7:$AO$17,1)=$B30)," ","")&amp;IF(WEEKDAY(B30,2)=1,INT((B30-(DATE(YEAR(B30+(MOD(8-WEEKDAY(B30),7)-3)),1,1))-3+
MOD(WEEKDAY(DATE(YEAR(B30+(MOD(8-WEEKDAY(B30),7)-3)),1,1))+1,7))/7)+1,"")</f>
        <v>13</v>
      </c>
      <c r="B30" s="68">
        <f t="shared" si="0"/>
        <v>41722</v>
      </c>
      <c r="C30" s="59"/>
      <c r="D30" s="59"/>
      <c r="E30" s="59"/>
      <c r="F30" s="59"/>
      <c r="G30" s="216">
        <f>IF(AND(OR(WEEKDAY(B30,2)&gt;5,LEFT(A30,1)=" "),$C30=""),"",IF(E30&gt;0,(E30*60+F30)-(C30*60+D30)-H30+TRUNC(Info!$D$10*(I30/100)),IF(MID(C30,1,2)="Fl",0,Info!AD64))-Info!AD64)</f>
        <v>0</v>
      </c>
      <c r="H30" s="185">
        <f>IF(AND(Info!$C$46&gt;0,$E30&gt;$C30),IF(Info!AD64=Info!$D$12,,Info!$C$46),)</f>
        <v>0</v>
      </c>
      <c r="I30" s="185"/>
      <c r="J30" s="175" t="str">
        <f>" "&amp;Info!AD30</f>
        <v xml:space="preserve"> </v>
      </c>
      <c r="K30" s="323"/>
      <c r="L30" s="338"/>
      <c r="M30" s="327"/>
      <c r="P30" s="243"/>
      <c r="Q30" s="243"/>
      <c r="R30" s="243"/>
      <c r="S30" s="243"/>
      <c r="T30" s="243"/>
      <c r="U30" s="243"/>
      <c r="V30" s="243"/>
      <c r="W30" s="243"/>
      <c r="X30" s="243"/>
      <c r="Y30" s="243"/>
      <c r="Z30" s="243"/>
    </row>
    <row r="31" spans="1:26" s="11" customFormat="1" x14ac:dyDescent="0.2">
      <c r="A31" s="157" t="str">
        <f>IF(AND(WEEKDAY($B31,2)&lt;&gt;3,VLOOKUP($B31,Info!$AO$7:$AO$17,1)=$B31)," ","")&amp;IF(WEEKDAY(B31,2)=1,INT((B31-(DATE(YEAR(B31+(MOD(8-WEEKDAY(B31),7)-3)),1,1))-3+
MOD(WEEKDAY(DATE(YEAR(B31+(MOD(8-WEEKDAY(B31),7)-3)),1,1))+1,7))/7)+1,"")</f>
        <v/>
      </c>
      <c r="B31" s="68">
        <f t="shared" si="0"/>
        <v>41723</v>
      </c>
      <c r="C31" s="59"/>
      <c r="D31" s="59"/>
      <c r="E31" s="59"/>
      <c r="F31" s="59"/>
      <c r="G31" s="216">
        <f>IF(AND(OR(WEEKDAY(B31,2)&gt;5,LEFT(A31,1)=" "),$C31=""),"",IF(E31&gt;0,(E31*60+F31)-(C31*60+D31)-H31+TRUNC(Info!$D$10*(I31/100)),IF(MID(C31,1,2)="Fl",0,Info!AD65))-Info!AD65)</f>
        <v>0</v>
      </c>
      <c r="H31" s="185">
        <f>IF(AND(Info!$C$46&gt;0,$E31&gt;$C31),IF(Info!AD65=Info!$D$12,,Info!$C$46),)</f>
        <v>0</v>
      </c>
      <c r="I31" s="185"/>
      <c r="J31" s="175" t="str">
        <f>" "&amp;Info!AD31</f>
        <v xml:space="preserve"> </v>
      </c>
      <c r="K31" s="323"/>
      <c r="L31" s="338"/>
      <c r="M31" s="327"/>
      <c r="P31" s="243"/>
      <c r="Q31" s="243"/>
      <c r="R31" s="243"/>
      <c r="S31" s="243"/>
      <c r="T31" s="243"/>
      <c r="U31" s="243"/>
      <c r="V31" s="243"/>
      <c r="W31" s="243"/>
      <c r="X31" s="243"/>
      <c r="Y31" s="243"/>
      <c r="Z31" s="243"/>
    </row>
    <row r="32" spans="1:26" s="11" customFormat="1" x14ac:dyDescent="0.2">
      <c r="A32" s="157" t="str">
        <f>IF(AND(WEEKDAY($B32,2)&lt;&gt;3,VLOOKUP($B32,Info!$AO$7:$AO$17,1)=$B32)," ","")&amp;IF(WEEKDAY(B32,2)=1,INT((B32-(DATE(YEAR(B32+(MOD(8-WEEKDAY(B32),7)-3)),1,1))-3+
MOD(WEEKDAY(DATE(YEAR(B32+(MOD(8-WEEKDAY(B32),7)-3)),1,1))+1,7))/7)+1,"")</f>
        <v/>
      </c>
      <c r="B32" s="68">
        <f t="shared" si="0"/>
        <v>41724</v>
      </c>
      <c r="C32" s="59"/>
      <c r="D32" s="59"/>
      <c r="E32" s="59"/>
      <c r="F32" s="59"/>
      <c r="G32" s="216">
        <f>IF(AND(OR(WEEKDAY(B32,2)&gt;5,LEFT(A32,1)=" "),$C32=""),"",IF(E32&gt;0,(E32*60+F32)-(C32*60+D32)-H32+TRUNC(Info!$D$10*(I32/100)),IF(MID(C32,1,2)="Fl",0,Info!AD66))-Info!AD66)</f>
        <v>0</v>
      </c>
      <c r="H32" s="185">
        <f>IF(AND(Info!$C$46&gt;0,$E32&gt;$C32),IF(Info!AD66=Info!$D$12,,Info!$C$46),)</f>
        <v>0</v>
      </c>
      <c r="I32" s="185"/>
      <c r="J32" s="175" t="str">
        <f>" "&amp;Info!AD32</f>
        <v xml:space="preserve"> </v>
      </c>
      <c r="K32" s="323"/>
      <c r="L32" s="338"/>
      <c r="M32" s="327"/>
      <c r="P32" s="243"/>
      <c r="Q32" s="243"/>
      <c r="R32" s="243"/>
      <c r="S32" s="243"/>
      <c r="T32" s="243"/>
      <c r="U32" s="243"/>
      <c r="V32" s="243"/>
      <c r="W32" s="243"/>
      <c r="X32" s="243"/>
      <c r="Y32" s="243"/>
      <c r="Z32" s="243"/>
    </row>
    <row r="33" spans="1:26" s="11" customFormat="1" x14ac:dyDescent="0.2">
      <c r="A33" s="157" t="str">
        <f>IF(AND(WEEKDAY($B33,2)&lt;&gt;3,VLOOKUP($B33,Info!$AO$7:$AO$17,1)=$B33)," ","")&amp;IF(WEEKDAY(B33,2)=1,INT((B33-(DATE(YEAR(B33+(MOD(8-WEEKDAY(B33),7)-3)),1,1))-3+
MOD(WEEKDAY(DATE(YEAR(B33+(MOD(8-WEEKDAY(B33),7)-3)),1,1))+1,7))/7)+1,"")</f>
        <v/>
      </c>
      <c r="B33" s="68">
        <f t="shared" si="0"/>
        <v>41725</v>
      </c>
      <c r="C33" s="59"/>
      <c r="D33" s="59"/>
      <c r="E33" s="59"/>
      <c r="F33" s="59"/>
      <c r="G33" s="216">
        <f>IF(AND(OR(WEEKDAY(B33,2)&gt;5,LEFT(A33,1)=" "),$C33=""),"",IF(E33&gt;0,(E33*60+F33)-(C33*60+D33)-H33+TRUNC(Info!$D$10*(I33/100)),IF(MID(C33,1,2)="Fl",0,Info!AD67))-Info!AD67)</f>
        <v>0</v>
      </c>
      <c r="H33" s="185">
        <f>IF(AND(Info!$C$46&gt;0,$E33&gt;$C33),IF(Info!AD67=Info!$D$12,,Info!$C$46),)</f>
        <v>0</v>
      </c>
      <c r="I33" s="185"/>
      <c r="J33" s="175" t="str">
        <f>" "&amp;Info!AD33</f>
        <v xml:space="preserve"> </v>
      </c>
      <c r="K33" s="323"/>
      <c r="L33" s="338"/>
      <c r="M33" s="327"/>
      <c r="P33" s="243"/>
      <c r="Q33" s="243"/>
      <c r="R33" s="243"/>
      <c r="S33" s="243"/>
      <c r="T33" s="243"/>
      <c r="U33" s="243"/>
      <c r="V33" s="243"/>
      <c r="W33" s="243"/>
      <c r="X33" s="243"/>
      <c r="Y33" s="243"/>
      <c r="Z33" s="243"/>
    </row>
    <row r="34" spans="1:26" s="11" customFormat="1" x14ac:dyDescent="0.2">
      <c r="A34" s="157" t="str">
        <f>IF(AND(WEEKDAY($B34,2)&lt;&gt;3,VLOOKUP($B34,Info!$AO$7:$AO$17,1)=$B34)," ","")&amp;IF(WEEKDAY(B34,2)=1,INT((B34-(DATE(YEAR(B34+(MOD(8-WEEKDAY(B34),7)-3)),1,1))-3+
MOD(WEEKDAY(DATE(YEAR(B34+(MOD(8-WEEKDAY(B34),7)-3)),1,1))+1,7))/7)+1,"")</f>
        <v/>
      </c>
      <c r="B34" s="68">
        <f t="shared" si="0"/>
        <v>41726</v>
      </c>
      <c r="C34" s="59"/>
      <c r="D34" s="59"/>
      <c r="E34" s="59"/>
      <c r="F34" s="59"/>
      <c r="G34" s="216">
        <f>IF(AND(OR(WEEKDAY(B34,2)&gt;5,LEFT(A34,1)=" "),$C34=""),"",IF(E34&gt;0,(E34*60+F34)-(C34*60+D34)-H34+TRUNC(Info!$D$10*(I34/100)),IF(MID(C34,1,2)="Fl",0,Info!AD68))-Info!AD68)</f>
        <v>0</v>
      </c>
      <c r="H34" s="185">
        <f>IF(AND(Info!$C$46&gt;0,$E34&gt;$C34),IF(Info!AD68=Info!$D$12,,Info!$C$46),)</f>
        <v>0</v>
      </c>
      <c r="I34" s="185"/>
      <c r="J34" s="175" t="str">
        <f>" "&amp;Info!AD34</f>
        <v xml:space="preserve"> </v>
      </c>
      <c r="K34" s="323"/>
      <c r="L34" s="338"/>
      <c r="M34" s="327"/>
      <c r="P34" s="243"/>
      <c r="Q34" s="243"/>
      <c r="R34" s="243"/>
      <c r="S34" s="243"/>
      <c r="T34" s="243"/>
      <c r="U34" s="243"/>
      <c r="V34" s="243"/>
      <c r="W34" s="243"/>
      <c r="X34" s="243"/>
      <c r="Y34" s="243"/>
      <c r="Z34" s="243"/>
    </row>
    <row r="35" spans="1:26" s="11" customFormat="1" x14ac:dyDescent="0.2">
      <c r="A35" s="157" t="str">
        <f>IF(AND(WEEKDAY($B35,2)&lt;&gt;3,VLOOKUP($B35,Info!$AO$7:$AO$17,1)=$B35)," ","")&amp;IF(WEEKDAY(B35,2)=1,INT((B35-(DATE(YEAR(B35+(MOD(8-WEEKDAY(B35),7)-3)),1,1))-3+
MOD(WEEKDAY(DATE(YEAR(B35+(MOD(8-WEEKDAY(B35),7)-3)),1,1))+1,7))/7)+1,"")</f>
        <v/>
      </c>
      <c r="B35" s="68">
        <f t="shared" si="0"/>
        <v>41727</v>
      </c>
      <c r="C35" s="59"/>
      <c r="D35" s="59"/>
      <c r="E35" s="59"/>
      <c r="F35" s="59"/>
      <c r="G35" s="216" t="str">
        <f>IF(AND(OR(WEEKDAY(B35,2)&gt;5,LEFT(A35,1)=" "),$C35=""),"",IF(E35&gt;0,(E35*60+F35)-(C35*60+D35)-H35+TRUNC(Info!$D$10*(I35/100)),IF(MID(C35,1,2)="Fl",0,Info!AD69))-Info!AD69)</f>
        <v/>
      </c>
      <c r="H35" s="185">
        <f>IF(AND(Info!$C$46&gt;0,$E35&gt;$C35),IF(Info!AD69=Info!$D$12,,Info!$C$46),)</f>
        <v>0</v>
      </c>
      <c r="I35" s="185"/>
      <c r="J35" s="175" t="str">
        <f>" "&amp;Info!AD35</f>
        <v xml:space="preserve"> Sommertid - klokka 1 time fram i natt</v>
      </c>
      <c r="K35" s="323"/>
      <c r="L35" s="338"/>
      <c r="M35" s="327"/>
      <c r="P35" s="243"/>
      <c r="Q35" s="243"/>
      <c r="R35" s="243"/>
      <c r="S35" s="243"/>
      <c r="T35" s="243"/>
      <c r="U35" s="243"/>
      <c r="V35" s="243"/>
      <c r="W35" s="243"/>
      <c r="X35" s="243"/>
      <c r="Y35" s="243"/>
      <c r="Z35" s="243"/>
    </row>
    <row r="36" spans="1:26" s="11" customFormat="1" x14ac:dyDescent="0.2">
      <c r="A36" s="157" t="str">
        <f>IF(AND(WEEKDAY($B36,2)&lt;&gt;3,VLOOKUP($B36,Info!$AO$7:$AO$17,1)=$B36)," ","")&amp;IF(WEEKDAY(B36,2)=1,INT((B36-(DATE(YEAR(B36+(MOD(8-WEEKDAY(B36),7)-3)),1,1))-3+
MOD(WEEKDAY(DATE(YEAR(B36+(MOD(8-WEEKDAY(B36),7)-3)),1,1))+1,7))/7)+1,"")</f>
        <v/>
      </c>
      <c r="B36" s="68">
        <f t="shared" si="0"/>
        <v>41728</v>
      </c>
      <c r="C36" s="59"/>
      <c r="D36" s="59"/>
      <c r="E36" s="59"/>
      <c r="F36" s="59"/>
      <c r="G36" s="216" t="str">
        <f>IF(AND(OR(WEEKDAY(B36,2)&gt;5,LEFT(A36,1)=" "),$C36=""),"",IF(E36&gt;0,(E36*60+F36)-(C36*60+D36)-H36+TRUNC(Info!$D$10*(I36/100)),IF(MID(C36,1,2)="Fl",0,Info!AD70))-Info!AD70)</f>
        <v/>
      </c>
      <c r="H36" s="185">
        <f>IF(AND(Info!$C$46&gt;0,$E36&gt;$C36),IF(Info!AD70=Info!$D$12,,Info!$C$46),)</f>
        <v>0</v>
      </c>
      <c r="I36" s="185"/>
      <c r="J36" s="175" t="str">
        <f>" "&amp;Info!AD36</f>
        <v xml:space="preserve"> </v>
      </c>
      <c r="K36" s="323"/>
      <c r="L36" s="338"/>
      <c r="M36" s="327"/>
      <c r="P36" s="243"/>
      <c r="Q36" s="243"/>
      <c r="R36" s="243"/>
      <c r="S36" s="243"/>
      <c r="T36" s="243"/>
      <c r="U36" s="243"/>
      <c r="V36" s="243"/>
      <c r="W36" s="243"/>
      <c r="X36" s="243"/>
      <c r="Y36" s="243"/>
      <c r="Z36" s="243"/>
    </row>
    <row r="37" spans="1:26" s="11" customFormat="1" ht="13.5" thickBot="1" x14ac:dyDescent="0.25">
      <c r="A37" s="157" t="str">
        <f>IF(AND(WEEKDAY($B37,2)&lt;&gt;3,VLOOKUP($B37,Info!$AO$7:$AO$17,1)=$B37)," ","")&amp;IF(WEEKDAY(B37,2)=1,INT((B37-(DATE(YEAR(B37+(MOD(8-WEEKDAY(B37),7)-3)),1,1))-3+
MOD(WEEKDAY(DATE(YEAR(B37+(MOD(8-WEEKDAY(B37),7)-3)),1,1))+1,7))/7)+1,"")</f>
        <v>14</v>
      </c>
      <c r="B37" s="69">
        <f t="shared" si="0"/>
        <v>41729</v>
      </c>
      <c r="C37" s="60"/>
      <c r="D37" s="60"/>
      <c r="E37" s="60"/>
      <c r="F37" s="60"/>
      <c r="G37" s="217">
        <f>IF(AND(OR(WEEKDAY(B37,2)&gt;5,LEFT(A37,1)=" "),$C37=""),"",IF(E37&gt;0,(E37*60+F37)-(C37*60+D37)-H37+TRUNC(Info!$D$10*(I37/100)),IF(MID(C37,1,2)="Fl",0,Info!AD71))-Info!AD71)</f>
        <v>0</v>
      </c>
      <c r="H37" s="186">
        <f>IF(AND(Info!$C$46&gt;0,$E37&gt;$C37),IF(Info!AD71=Info!$D$12,,Info!$C$46),)</f>
        <v>0</v>
      </c>
      <c r="I37" s="186"/>
      <c r="J37" s="176" t="str">
        <f>" "&amp;Info!AD37</f>
        <v xml:space="preserve"> </v>
      </c>
      <c r="K37" s="323"/>
      <c r="L37" s="338"/>
      <c r="M37" s="327"/>
      <c r="P37" s="243"/>
      <c r="Q37" s="243"/>
      <c r="R37" s="243"/>
      <c r="S37" s="243"/>
      <c r="T37" s="243"/>
      <c r="U37" s="243"/>
      <c r="V37" s="243"/>
      <c r="W37" s="243"/>
      <c r="X37" s="243"/>
      <c r="Y37" s="243"/>
      <c r="Z37" s="243"/>
    </row>
    <row r="38" spans="1:26" x14ac:dyDescent="0.2">
      <c r="G38" s="45"/>
      <c r="H38" s="12"/>
      <c r="I38" s="12"/>
      <c r="K38" s="313">
        <f>SUM(K7:K37)</f>
        <v>0</v>
      </c>
      <c r="L38" s="313">
        <f>SUM(L7:L37)</f>
        <v>0</v>
      </c>
      <c r="M38" s="327"/>
      <c r="N38" s="337">
        <f>SUM(Feb!$K$27:'Feb'!$K35)+SUM($K$7:$K$26)</f>
        <v>0</v>
      </c>
    </row>
    <row r="39" spans="1:26" x14ac:dyDescent="0.2">
      <c r="K39" s="342" t="str">
        <f>ROUNDDOWN(K38/60,1)&amp;" t"</f>
        <v>0 t</v>
      </c>
      <c r="L39" s="96" t="s">
        <v>217</v>
      </c>
      <c r="N39" s="330" t="str">
        <f>ROUNDDOWN(N38/60,1)&amp;" t  i perioden 21."&amp;TEXT(B7-1,"m")&amp;"-20."&amp;TEXT(B7,"m")</f>
        <v>0 t  i perioden 21.2-20.3</v>
      </c>
    </row>
    <row r="40" spans="1:26" x14ac:dyDescent="0.2">
      <c r="B40" s="454" t="s">
        <v>141</v>
      </c>
      <c r="C40" s="455"/>
      <c r="D40" s="455"/>
      <c r="E40" s="456"/>
      <c r="F40" s="208" t="s">
        <v>48</v>
      </c>
      <c r="G40" s="209" t="s">
        <v>49</v>
      </c>
      <c r="H40" s="482" t="s">
        <v>50</v>
      </c>
      <c r="I40" s="460"/>
      <c r="J40" s="14" t="s">
        <v>19</v>
      </c>
      <c r="K40" s="92"/>
      <c r="L40" s="92"/>
    </row>
    <row r="41" spans="1:26" x14ac:dyDescent="0.2">
      <c r="B41" s="191" t="str">
        <f>J$2&amp;":"</f>
        <v>Mars:</v>
      </c>
      <c r="C41" s="1"/>
      <c r="D41" s="1"/>
      <c r="E41" s="40">
        <f>SUM(G$7:G$37)</f>
        <v>0</v>
      </c>
      <c r="F41" s="38">
        <f>TRUNC(E41/60,)</f>
        <v>0</v>
      </c>
      <c r="G41" s="50">
        <f>((E41/60)-F41)*60</f>
        <v>0</v>
      </c>
      <c r="H41" s="471"/>
      <c r="I41" s="472"/>
      <c r="J41" s="15" t="s">
        <v>145</v>
      </c>
      <c r="K41" s="92"/>
      <c r="L41" s="92"/>
    </row>
    <row r="42" spans="1:26" x14ac:dyDescent="0.2">
      <c r="B42" s="192" t="str">
        <f>"Fra "&amp;TEXT(($B$7-1),"mmmm")&amp;":"</f>
        <v>Fra februar:</v>
      </c>
      <c r="C42" s="1"/>
      <c r="D42" s="1"/>
      <c r="E42" s="40">
        <f>Feb!$E$41</f>
        <v>0</v>
      </c>
      <c r="F42" s="39">
        <f>TRUNC(E42/60,)</f>
        <v>0</v>
      </c>
      <c r="G42" s="51">
        <f>((E42/60)-F42)*60</f>
        <v>0</v>
      </c>
      <c r="H42" s="473"/>
      <c r="I42" s="474"/>
      <c r="J42" s="15" t="s">
        <v>146</v>
      </c>
      <c r="K42" s="92"/>
      <c r="L42" s="92"/>
    </row>
    <row r="43" spans="1:26" x14ac:dyDescent="0.2">
      <c r="B43" s="210" t="s">
        <v>142</v>
      </c>
      <c r="C43" s="1"/>
      <c r="D43" s="1"/>
      <c r="E43" s="193">
        <f>E41+E42</f>
        <v>0</v>
      </c>
      <c r="F43" s="80">
        <f>TRUNC(E43/60,)</f>
        <v>0</v>
      </c>
      <c r="G43" s="81">
        <f>((E43/60)-F43)*60</f>
        <v>0</v>
      </c>
      <c r="H43" s="457">
        <f>E43/Info!$D$10</f>
        <v>0</v>
      </c>
      <c r="I43" s="451"/>
      <c r="J43" s="213" t="s">
        <v>147</v>
      </c>
      <c r="K43" s="92"/>
      <c r="L43" s="92"/>
    </row>
    <row r="44" spans="1:26" x14ac:dyDescent="0.2">
      <c r="B44" s="454" t="s">
        <v>133</v>
      </c>
      <c r="C44" s="455"/>
      <c r="D44" s="455"/>
      <c r="E44" s="456"/>
      <c r="F44" s="1"/>
      <c r="G44" s="46"/>
      <c r="H44" s="461">
        <f>IF(Info!$C$47="Ja",E43/Info!$D$11,)</f>
        <v>0</v>
      </c>
      <c r="I44" s="461"/>
      <c r="J44" s="17" t="s">
        <v>40</v>
      </c>
      <c r="K44" s="92"/>
      <c r="L44" s="92"/>
    </row>
    <row r="45" spans="1:26" x14ac:dyDescent="0.2">
      <c r="B45" s="191" t="str">
        <f>J$2&amp;":"</f>
        <v>Mars:</v>
      </c>
      <c r="C45" s="194"/>
      <c r="D45" s="195"/>
      <c r="E45" s="196">
        <f>COUNTIF(C$7:C$37,"Fe*")</f>
        <v>0</v>
      </c>
      <c r="G45" s="47"/>
      <c r="H45" s="18"/>
      <c r="I45" s="18"/>
      <c r="J45" s="25"/>
      <c r="K45" s="92"/>
      <c r="L45" s="92"/>
    </row>
    <row r="46" spans="1:26" x14ac:dyDescent="0.2">
      <c r="B46" s="192" t="s">
        <v>143</v>
      </c>
      <c r="C46" s="7"/>
      <c r="D46" s="7"/>
      <c r="E46" s="197">
        <f>Feb!$E$45</f>
        <v>0</v>
      </c>
      <c r="F46" s="10"/>
      <c r="G46" s="48"/>
      <c r="H46" s="19"/>
      <c r="I46" s="19"/>
      <c r="J46" s="26"/>
      <c r="K46" s="92"/>
      <c r="L46" s="92"/>
    </row>
    <row r="47" spans="1:26" x14ac:dyDescent="0.2">
      <c r="B47" s="211" t="s">
        <v>44</v>
      </c>
      <c r="C47" s="198"/>
      <c r="D47" s="198"/>
      <c r="E47" s="199">
        <f>E46-E45</f>
        <v>0</v>
      </c>
      <c r="F47" s="2"/>
      <c r="G47" s="48"/>
      <c r="H47" s="19"/>
      <c r="I47" s="19"/>
      <c r="J47" s="26"/>
      <c r="K47" s="92"/>
      <c r="L47" s="92"/>
    </row>
    <row r="48" spans="1:26" x14ac:dyDescent="0.2">
      <c r="B48" s="454" t="s">
        <v>140</v>
      </c>
      <c r="C48" s="455"/>
      <c r="D48" s="455"/>
      <c r="E48" s="456"/>
      <c r="F48" s="454" t="s">
        <v>87</v>
      </c>
      <c r="G48" s="458"/>
      <c r="H48" s="459"/>
      <c r="I48" s="460"/>
      <c r="K48" s="92"/>
      <c r="L48" s="92"/>
    </row>
    <row r="49" spans="2:12" x14ac:dyDescent="0.2">
      <c r="B49" s="191" t="str">
        <f>J$2&amp;":"</f>
        <v>Mars:</v>
      </c>
      <c r="C49" s="195"/>
      <c r="D49" s="195"/>
      <c r="E49" s="200">
        <f>COUNTIF(C$7:C$37,"S*")</f>
        <v>0</v>
      </c>
      <c r="F49" s="464" t="str">
        <f>IF(E49&gt;0,"- av disse","")</f>
        <v/>
      </c>
      <c r="G49" s="465"/>
      <c r="H49" s="481" t="str">
        <f>IF(E49&gt;0,E49-COUNTIF(C$7:C$37,"s*m*"),"")</f>
        <v/>
      </c>
      <c r="I49" s="480"/>
      <c r="K49" s="92"/>
      <c r="L49" s="92"/>
    </row>
    <row r="50" spans="2:12" x14ac:dyDescent="0.2">
      <c r="B50" s="211" t="str">
        <f>J$1&amp;":"</f>
        <v>2014:</v>
      </c>
      <c r="C50" s="198"/>
      <c r="D50" s="198"/>
      <c r="E50" s="201">
        <f>Feb!$E$48+E49</f>
        <v>0</v>
      </c>
      <c r="F50" s="452" t="s">
        <v>148</v>
      </c>
      <c r="G50" s="453"/>
      <c r="H50" s="450">
        <f>SUM(Info!$I$7:'Info'!$I$15)+SUM(Info!$J$4:'Info'!$J$5)+E49-COUNTIF(C$7:C$37,"s*m*")</f>
        <v>0</v>
      </c>
      <c r="I50" s="451"/>
      <c r="K50" s="92"/>
      <c r="L50" s="92"/>
    </row>
    <row r="51" spans="2:12" x14ac:dyDescent="0.2">
      <c r="B51" s="454" t="s">
        <v>144</v>
      </c>
      <c r="C51" s="455"/>
      <c r="D51" s="455"/>
      <c r="E51" s="456"/>
      <c r="K51" s="92"/>
      <c r="L51" s="92"/>
    </row>
    <row r="52" spans="2:12" x14ac:dyDescent="0.2">
      <c r="B52" s="202" t="str">
        <f>"Sykt barn/-passer i "&amp;LOWER(J$2)&amp;":"</f>
        <v>Sykt barn/-passer i mars:</v>
      </c>
      <c r="C52" s="28"/>
      <c r="D52" s="203"/>
      <c r="E52" s="204">
        <f>COUNTIF(C$7:C$37,"P*b*")</f>
        <v>0</v>
      </c>
      <c r="F52" s="1"/>
      <c r="G52" s="49"/>
      <c r="H52" s="19"/>
      <c r="I52" s="19"/>
      <c r="K52" s="92"/>
      <c r="L52" s="92"/>
    </row>
    <row r="53" spans="2:12" x14ac:dyDescent="0.2">
      <c r="B53" s="205" t="str">
        <f>"Velferdspermisjon i "&amp;LOWER(J$2)&amp;":"</f>
        <v>Velferdspermisjon i mars:</v>
      </c>
      <c r="C53" s="1"/>
      <c r="D53" s="1"/>
      <c r="E53" s="206">
        <f>COUNTIF(C$7:C$37,"P*v*")</f>
        <v>0</v>
      </c>
      <c r="K53" s="92"/>
      <c r="L53" s="92"/>
    </row>
    <row r="54" spans="2:12" x14ac:dyDescent="0.2">
      <c r="B54" s="205" t="str">
        <f>"Annen permisjon i "&amp;LOWER(J$2)&amp;":"</f>
        <v>Annen permisjon i mars:</v>
      </c>
      <c r="C54" s="1"/>
      <c r="D54" s="1"/>
      <c r="E54" s="206">
        <f>COUNTIF(C$7:C$37,"P*a*")</f>
        <v>0</v>
      </c>
      <c r="J54" s="429"/>
      <c r="K54" s="92"/>
      <c r="L54" s="92"/>
    </row>
    <row r="55" spans="2:12" x14ac:dyDescent="0.2">
      <c r="B55" s="212" t="str">
        <f>J$1&amp;":"</f>
        <v>2014:</v>
      </c>
      <c r="C55" s="31"/>
      <c r="D55" s="31"/>
      <c r="E55" s="207">
        <f>Feb!$E$53+SUM(E52:E54)</f>
        <v>0</v>
      </c>
      <c r="J55" s="314" t="s">
        <v>233</v>
      </c>
      <c r="K55" s="92"/>
      <c r="L55" s="92"/>
    </row>
  </sheetData>
  <sheetProtection selectLockedCells="1"/>
  <mergeCells count="16">
    <mergeCell ref="K5:L5"/>
    <mergeCell ref="B51:E51"/>
    <mergeCell ref="F50:G50"/>
    <mergeCell ref="B40:E40"/>
    <mergeCell ref="B44:E44"/>
    <mergeCell ref="B48:E48"/>
    <mergeCell ref="F49:G49"/>
    <mergeCell ref="F48:I48"/>
    <mergeCell ref="H49:I49"/>
    <mergeCell ref="H50:I50"/>
    <mergeCell ref="H43:I43"/>
    <mergeCell ref="H44:I44"/>
    <mergeCell ref="H5:I5"/>
    <mergeCell ref="H40:I40"/>
    <mergeCell ref="H41:I41"/>
    <mergeCell ref="H42:I42"/>
  </mergeCells>
  <phoneticPr fontId="0" type="noConversion"/>
  <conditionalFormatting sqref="C7:F24 H7:I23">
    <cfRule type="expression" dxfId="257" priority="1" stopIfTrue="1">
      <formula>$B7=TODAY()</formula>
    </cfRule>
    <cfRule type="expression" dxfId="256" priority="2" stopIfTrue="1">
      <formula>WEEKDAY($B7,2)&gt;5</formula>
    </cfRule>
  </conditionalFormatting>
  <conditionalFormatting sqref="J7:L24">
    <cfRule type="expression" dxfId="255" priority="3" stopIfTrue="1">
      <formula>$B7=TODAY()</formula>
    </cfRule>
    <cfRule type="expression" dxfId="254" priority="4" stopIfTrue="1">
      <formula>WEEKDAY($B7,2)&gt;5</formula>
    </cfRule>
  </conditionalFormatting>
  <conditionalFormatting sqref="H24:I37 C25:F37">
    <cfRule type="expression" dxfId="253" priority="5" stopIfTrue="1">
      <formula>$B24=TODAY()</formula>
    </cfRule>
    <cfRule type="expression" dxfId="252" priority="6" stopIfTrue="1">
      <formula>OR(WEEKDAY($B24,2)&gt;5,LEFT($A24,1)=" ")</formula>
    </cfRule>
  </conditionalFormatting>
  <conditionalFormatting sqref="B24">
    <cfRule type="expression" dxfId="251" priority="7" stopIfTrue="1">
      <formula>OR(AND(B24=TODAY(),WEEKDAY(B24,2)&gt;5),LEFT($A24,1)=" ")</formula>
    </cfRule>
    <cfRule type="expression" dxfId="250" priority="8" stopIfTrue="1">
      <formula>B24=TODAY()</formula>
    </cfRule>
    <cfRule type="expression" dxfId="249" priority="9" stopIfTrue="1">
      <formula>OR(WEEKDAY($B24,2)&gt;5,LEFT($A24,1)=" ")</formula>
    </cfRule>
  </conditionalFormatting>
  <conditionalFormatting sqref="B25:B37">
    <cfRule type="expression" dxfId="248" priority="10" stopIfTrue="1">
      <formula>AND(B25=TODAY(),OR(WEEKDAY(B25,2)&gt;5,LEFT($A25,1)=" "))</formula>
    </cfRule>
    <cfRule type="expression" dxfId="247" priority="11" stopIfTrue="1">
      <formula>B25=TODAY()</formula>
    </cfRule>
    <cfRule type="expression" dxfId="246" priority="12" stopIfTrue="1">
      <formula>OR(WEEKDAY($B25,2)&gt;5,LEFT($A25,1)=" ")</formula>
    </cfRule>
  </conditionalFormatting>
  <conditionalFormatting sqref="J25:L37">
    <cfRule type="expression" dxfId="245" priority="13" stopIfTrue="1">
      <formula>$B25=TODAY()</formula>
    </cfRule>
    <cfRule type="expression" dxfId="244" priority="14" stopIfTrue="1">
      <formula>OR(WEEKDAY($B25,2)&gt;5,LEFT($A25,1)=" ")</formula>
    </cfRule>
  </conditionalFormatting>
  <conditionalFormatting sqref="A7">
    <cfRule type="expression" dxfId="243" priority="15" stopIfTrue="1">
      <formula>AND((TODAY()-WEEKDAY(TODAY(),2)+7)&gt;=B7,(TODAY()-WEEKDAY(TODAY(),2)&lt;B7))</formula>
    </cfRule>
  </conditionalFormatting>
  <conditionalFormatting sqref="A8:A37">
    <cfRule type="expression" dxfId="242" priority="16" stopIfTrue="1">
      <formula>(TODAY()-WEEKDAY(TODAY(),2)+1)=B8</formula>
    </cfRule>
  </conditionalFormatting>
  <conditionalFormatting sqref="G7:G23">
    <cfRule type="expression" dxfId="241" priority="17" stopIfTrue="1">
      <formula>WEEKDAY($B7,2)&gt;5</formula>
    </cfRule>
  </conditionalFormatting>
  <conditionalFormatting sqref="G24:G37">
    <cfRule type="expression" dxfId="240" priority="18" stopIfTrue="1">
      <formula>OR(WEEKDAY($B24,2)&gt;5,LEFT($A24,1)=" ")</formula>
    </cfRule>
  </conditionalFormatting>
  <conditionalFormatting sqref="G6">
    <cfRule type="expression" dxfId="239" priority="19" stopIfTrue="1">
      <formula>AND(H43&gt;-0.99,H43&lt;-0.01)</formula>
    </cfRule>
    <cfRule type="expression" dxfId="238" priority="20" stopIfTrue="1">
      <formula>H43&lt;=-2</formula>
    </cfRule>
    <cfRule type="expression" dxfId="237" priority="21" stopIfTrue="1">
      <formula>AND(H43&gt;-1.99,H43&lt;-1)</formula>
    </cfRule>
  </conditionalFormatting>
  <conditionalFormatting sqref="N2:N6">
    <cfRule type="expression" dxfId="236" priority="53" stopIfTrue="1">
      <formula>MONTH($B$7)=MONTH(TODAY())</formula>
    </cfRule>
  </conditionalFormatting>
  <conditionalFormatting sqref="H50">
    <cfRule type="cellIs" dxfId="235" priority="22" stopIfTrue="1" operator="greaterThan">
      <formula>22</formula>
    </cfRule>
  </conditionalFormatting>
  <conditionalFormatting sqref="H43">
    <cfRule type="cellIs" dxfId="234" priority="23" stopIfTrue="1" operator="between">
      <formula>-0.4</formula>
      <formula>-0.9999999</formula>
    </cfRule>
    <cfRule type="cellIs" dxfId="233" priority="24" stopIfTrue="1" operator="lessThanOrEqual">
      <formula>-2</formula>
    </cfRule>
    <cfRule type="cellIs" dxfId="232" priority="25" stopIfTrue="1" operator="between">
      <formula>-1</formula>
      <formula>-1.99999999</formula>
    </cfRule>
  </conditionalFormatting>
  <conditionalFormatting sqref="B8:B23">
    <cfRule type="expression" dxfId="231" priority="26" stopIfTrue="1">
      <formula>AND(B8=TODAY(),WEEKDAY(B8,2)&gt;5)</formula>
    </cfRule>
    <cfRule type="expression" dxfId="230" priority="27" stopIfTrue="1">
      <formula>B8=TODAY()</formula>
    </cfRule>
    <cfRule type="expression" dxfId="229" priority="28" stopIfTrue="1">
      <formula>WEEKDAY(B8,2)&gt;5</formula>
    </cfRule>
  </conditionalFormatting>
  <conditionalFormatting sqref="B7">
    <cfRule type="expression" dxfId="228" priority="29" stopIfTrue="1">
      <formula>AND(B7=TODAY(),WEEKDAY(B7,2)&gt;5)</formula>
    </cfRule>
    <cfRule type="expression" dxfId="227" priority="30" stopIfTrue="1">
      <formula>B7=TODAY()</formula>
    </cfRule>
    <cfRule type="expression" dxfId="226" priority="31" stopIfTrue="1">
      <formula>WEEKDAY(B7,2)&gt;5</formula>
    </cfRule>
  </conditionalFormatting>
  <conditionalFormatting sqref="K39">
    <cfRule type="expression" dxfId="225" priority="64" stopIfTrue="1">
      <formula>K38&lt;=0</formula>
    </cfRule>
  </conditionalFormatting>
  <conditionalFormatting sqref="N39">
    <cfRule type="expression" dxfId="224" priority="65" stopIfTrue="1">
      <formula>N38&lt;=0</formula>
    </cfRule>
  </conditionalFormatting>
  <conditionalFormatting sqref="L39">
    <cfRule type="expression" dxfId="223" priority="66" stopIfTrue="1">
      <formula>OR(K38&lt;=0,N38&lt;=0)</formula>
    </cfRule>
  </conditionalFormatting>
  <conditionalFormatting sqref="K38:L38">
    <cfRule type="cellIs" dxfId="222" priority="67" stopIfTrue="1" operator="lessThanOrEqual">
      <formula>0</formula>
    </cfRule>
  </conditionalFormatting>
  <pageMargins left="0.78740157480314965" right="0.19685039370078741" top="0.78740157480314965" bottom="0.98425196850393704" header="0.51181102362204722" footer="0.51181102362204722"/>
  <pageSetup paperSize="9" orientation="portrait" r:id="rId1"/>
  <headerFooter alignWithMargins="0">
    <oddFooter>&amp;R&amp;7ghe&amp;G 2011</oddFooter>
  </headerFooter>
  <ignoredErrors>
    <ignoredError sqref="J7 J24 J28:J37 J8:J23 H25:H37 H7:H23 H24 J25:J27" unlockedFormula="1"/>
  </ignoredErrors>
  <drawing r:id="rId2"/>
  <legacyDrawing r:id="rId3"/>
  <legacyDrawingHF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6" enableFormatConditionsCalculation="0">
    <tabColor indexed="42"/>
  </sheetPr>
  <dimension ref="A1:Z55"/>
  <sheetViews>
    <sheetView showGridLines="0" workbookViewId="0">
      <pane ySplit="6" topLeftCell="A7" activePane="bottomLeft" state="frozenSplit"/>
      <selection pane="bottomLeft" activeCell="C7" sqref="C7"/>
    </sheetView>
  </sheetViews>
  <sheetFormatPr baseColWidth="10" defaultColWidth="9.140625" defaultRowHeight="12.75" x14ac:dyDescent="0.2"/>
  <cols>
    <col min="1" max="1" width="2.5703125" style="149" customWidth="1"/>
    <col min="2" max="2" width="7.5703125" customWidth="1"/>
    <col min="3" max="5" width="9.140625" customWidth="1"/>
    <col min="6" max="6" width="8.5703125" customWidth="1"/>
    <col min="7" max="7" width="7.140625" style="41" customWidth="1"/>
    <col min="8" max="8" width="5" style="8" customWidth="1"/>
    <col min="9" max="9" width="3.42578125" style="8" customWidth="1"/>
    <col min="10" max="10" width="31.42578125" style="10" customWidth="1"/>
    <col min="11" max="12" width="4.7109375" customWidth="1"/>
    <col min="13" max="13" width="1.85546875" style="92" customWidth="1"/>
    <col min="14" max="14" width="20.28515625" customWidth="1"/>
    <col min="15" max="15" width="2.140625" customWidth="1"/>
    <col min="16" max="16" width="20.28515625" style="244" customWidth="1"/>
    <col min="17" max="26" width="9.140625" style="244"/>
  </cols>
  <sheetData>
    <row r="1" spans="1:26" s="92" customFormat="1" x14ac:dyDescent="0.2">
      <c r="A1" s="133"/>
      <c r="G1" s="347"/>
      <c r="H1" s="348"/>
      <c r="I1" s="348"/>
      <c r="J1" s="349">
        <f>Info!$E$1</f>
        <v>2014</v>
      </c>
    </row>
    <row r="2" spans="1:26" s="92" customFormat="1" ht="23.25" x14ac:dyDescent="0.35">
      <c r="A2" s="350"/>
      <c r="B2" s="401"/>
      <c r="C2" s="401"/>
      <c r="D2" s="402"/>
      <c r="E2" s="402"/>
      <c r="F2" s="403" t="str">
        <f>Info!C41</f>
        <v>Fleksitid</v>
      </c>
      <c r="G2" s="404"/>
      <c r="H2" s="405"/>
      <c r="I2" s="405"/>
      <c r="J2" s="406" t="s">
        <v>13</v>
      </c>
      <c r="N2" s="325"/>
    </row>
    <row r="3" spans="1:26" s="92" customFormat="1" ht="17.25" customHeight="1" x14ac:dyDescent="0.2">
      <c r="A3" s="133"/>
      <c r="B3" s="356"/>
      <c r="C3" s="357"/>
      <c r="D3" s="358"/>
      <c r="E3" s="359"/>
      <c r="F3" s="360">
        <f>Info!$C$5</f>
        <v>0</v>
      </c>
      <c r="G3" s="361"/>
      <c r="H3" s="362"/>
      <c r="I3" s="362"/>
      <c r="J3" s="314"/>
      <c r="N3" s="325"/>
    </row>
    <row r="4" spans="1:26" s="92" customFormat="1" ht="15" customHeight="1" thickBot="1" x14ac:dyDescent="0.25">
      <c r="A4" s="133"/>
      <c r="B4" s="363"/>
      <c r="C4" s="364"/>
      <c r="D4" s="365"/>
      <c r="E4" s="366"/>
      <c r="F4" s="367">
        <f>Info!$C$6</f>
        <v>0</v>
      </c>
      <c r="G4" s="368"/>
      <c r="H4" s="366"/>
      <c r="I4" s="366"/>
      <c r="J4" s="365"/>
      <c r="N4" s="325"/>
    </row>
    <row r="5" spans="1:26" x14ac:dyDescent="0.2">
      <c r="B5" s="3"/>
      <c r="C5" s="4" t="s">
        <v>0</v>
      </c>
      <c r="D5" s="4"/>
      <c r="E5" s="4" t="s">
        <v>1</v>
      </c>
      <c r="F5" s="4"/>
      <c r="G5" s="42"/>
      <c r="H5" s="468" t="s">
        <v>208</v>
      </c>
      <c r="I5" s="469"/>
      <c r="J5" s="9" t="s">
        <v>6</v>
      </c>
      <c r="K5" s="462" t="s">
        <v>216</v>
      </c>
      <c r="L5" s="463"/>
      <c r="M5" s="326"/>
      <c r="N5" s="11"/>
    </row>
    <row r="6" spans="1:26" ht="13.5" thickBot="1" x14ac:dyDescent="0.25">
      <c r="B6" s="5" t="s">
        <v>2</v>
      </c>
      <c r="C6" s="6" t="s">
        <v>3</v>
      </c>
      <c r="D6" s="6" t="s">
        <v>4</v>
      </c>
      <c r="E6" s="6" t="s">
        <v>3</v>
      </c>
      <c r="F6" s="6" t="s">
        <v>4</v>
      </c>
      <c r="G6" s="188" t="s">
        <v>139</v>
      </c>
      <c r="H6" s="6" t="s">
        <v>4</v>
      </c>
      <c r="I6" s="308" t="s">
        <v>207</v>
      </c>
      <c r="J6" s="172" t="str">
        <f>"Fleksi"&amp;IF(E42&lt;Info!D10,"tid: "&amp;IF(E42&lt;0,"-","")&amp;ABS(F42)&amp;":"&amp;ABS(ROUND(G42,)),"dager: "&amp;ROUND(H$42,1))&amp;"   Ferie: "&amp;E$46</f>
        <v>Fleksitid: 0:0   Ferie: 0</v>
      </c>
      <c r="K6" s="320" t="s">
        <v>4</v>
      </c>
      <c r="L6" s="322" t="s">
        <v>215</v>
      </c>
      <c r="M6" s="133"/>
      <c r="N6" s="11"/>
    </row>
    <row r="7" spans="1:26" s="11" customFormat="1" x14ac:dyDescent="0.2">
      <c r="A7" s="157" t="str">
        <f>IF(AND(WEEKDAY($B7,2)&lt;&gt;3,VLOOKUP($B7,Info!$AO$7:$AO$17,1)=$B7)," ","")&amp;IF(WEEKDAY(B7,2)&lt;6,INT((B7-(DATE(YEAR(B7+(MOD(8-WEEKDAY(B7),7)-3)),1,1))-3+
MOD(WEEKDAY(DATE(YEAR(B7+(MOD(8-WEEKDAY(B7),7)-3)),1,1))+1,7))/7)+1,"")</f>
        <v>14</v>
      </c>
      <c r="B7" s="68">
        <f>DATE(Info!$E$1,4,1)</f>
        <v>41730</v>
      </c>
      <c r="C7" s="59"/>
      <c r="D7" s="59"/>
      <c r="E7" s="59"/>
      <c r="F7" s="59"/>
      <c r="G7" s="216">
        <f>IF(AND(OR(WEEKDAY(B7,2)&gt;5,LEFT(A7,1)=" "),$C7=""),"",IF(E7&gt;0,(E7*60+F7)-(C7*60+D7)-H7+TRUNC(Info!$D$10*(I7/100)),IF(MID(C7,1,2)="Fl",0,Info!AE41))-Info!AE41)</f>
        <v>0</v>
      </c>
      <c r="H7" s="185">
        <f>IF(AND(Info!$C$46&gt;0,$E7&gt;$C7),IF(Info!AE41=Info!$D$12,,Info!$C$46),)</f>
        <v>0</v>
      </c>
      <c r="I7" s="185"/>
      <c r="J7" s="175" t="str">
        <f>" "&amp;Info!AE7</f>
        <v xml:space="preserve"> </v>
      </c>
      <c r="K7" s="323"/>
      <c r="L7" s="324"/>
      <c r="M7" s="327"/>
      <c r="P7" s="243"/>
      <c r="Q7" s="243"/>
      <c r="R7" s="243"/>
      <c r="S7" s="243"/>
      <c r="T7" s="243"/>
      <c r="U7" s="243"/>
      <c r="V7" s="243"/>
      <c r="W7" s="243"/>
      <c r="X7" s="243"/>
      <c r="Y7" s="243"/>
      <c r="Z7" s="243"/>
    </row>
    <row r="8" spans="1:26" s="11" customFormat="1" x14ac:dyDescent="0.2">
      <c r="A8" s="157" t="str">
        <f>IF(AND(WEEKDAY($B8,2)&lt;&gt;3,VLOOKUP($B8,Info!$AO$7:$AO$17,1)=$B8)," ","")&amp;IF(WEEKDAY(B8,2)=1,INT((B8-(DATE(YEAR(B8+(MOD(8-WEEKDAY(B8),7)-3)),1,1))-3+
MOD(WEEKDAY(DATE(YEAR(B8+(MOD(8-WEEKDAY(B8),7)-3)),1,1))+1,7))/7)+1,"")</f>
        <v/>
      </c>
      <c r="B8" s="68">
        <f t="shared" ref="B8:B35" si="0">B7+1</f>
        <v>41731</v>
      </c>
      <c r="C8" s="59"/>
      <c r="D8" s="59"/>
      <c r="E8" s="59"/>
      <c r="F8" s="59"/>
      <c r="G8" s="216">
        <f>IF(AND(OR(WEEKDAY(B8,2)&gt;5,LEFT(A8,1)=" "),$C8=""),"",IF(E8&gt;0,(E8*60+F8)-(C8*60+D8)-H8+TRUNC(Info!$D$10*(I8/100)),IF(MID(C8,1,2)="Fl",0,Info!AE42))-Info!AE42)</f>
        <v>0</v>
      </c>
      <c r="H8" s="185">
        <f>IF(AND(Info!$C$46&gt;0,$E8&gt;$C8),IF(Info!AE42=Info!$D$12,,Info!$C$46),)</f>
        <v>0</v>
      </c>
      <c r="I8" s="185"/>
      <c r="J8" s="175" t="str">
        <f>" "&amp;Info!AE8</f>
        <v xml:space="preserve"> </v>
      </c>
      <c r="K8" s="323"/>
      <c r="L8" s="324"/>
      <c r="M8" s="327"/>
      <c r="P8" s="243"/>
      <c r="Q8" s="243"/>
      <c r="R8" s="243"/>
      <c r="S8" s="243"/>
      <c r="T8" s="243"/>
      <c r="U8" s="243"/>
      <c r="V8" s="243"/>
      <c r="W8" s="243"/>
      <c r="X8" s="243"/>
      <c r="Y8" s="243"/>
      <c r="Z8" s="243"/>
    </row>
    <row r="9" spans="1:26" s="11" customFormat="1" x14ac:dyDescent="0.2">
      <c r="A9" s="157" t="str">
        <f>IF(AND(WEEKDAY($B9,2)&lt;&gt;3,VLOOKUP($B9,Info!$AO$7:$AO$17,1)=$B9)," ","")&amp;IF(WEEKDAY(B9,2)=1,INT((B9-(DATE(YEAR(B9+(MOD(8-WEEKDAY(B9),7)-3)),1,1))-3+
MOD(WEEKDAY(DATE(YEAR(B9+(MOD(8-WEEKDAY(B9),7)-3)),1,1))+1,7))/7)+1,"")</f>
        <v/>
      </c>
      <c r="B9" s="68">
        <f t="shared" si="0"/>
        <v>41732</v>
      </c>
      <c r="C9" s="59"/>
      <c r="D9" s="59"/>
      <c r="E9" s="59"/>
      <c r="F9" s="59"/>
      <c r="G9" s="216">
        <f>IF(AND(OR(WEEKDAY(B9,2)&gt;5,LEFT(A9,1)=" "),$C9=""),"",IF(E9&gt;0,(E9*60+F9)-(C9*60+D9)-H9+TRUNC(Info!$D$10*(I9/100)),IF(MID(C9,1,2)="Fl",0,Info!AE43))-Info!AE43)</f>
        <v>0</v>
      </c>
      <c r="H9" s="185">
        <f>IF(AND(Info!$C$46&gt;0,$E9&gt;$C9),IF(Info!AE43=Info!$D$12,,Info!$C$46),)</f>
        <v>0</v>
      </c>
      <c r="I9" s="185"/>
      <c r="J9" s="175" t="str">
        <f>" "&amp;Info!AE9</f>
        <v xml:space="preserve"> </v>
      </c>
      <c r="K9" s="323"/>
      <c r="L9" s="324"/>
      <c r="M9" s="327"/>
      <c r="P9" s="243"/>
      <c r="Q9" s="243"/>
      <c r="R9" s="243"/>
      <c r="S9" s="243"/>
      <c r="T9" s="243"/>
      <c r="U9" s="243"/>
      <c r="V9" s="243"/>
      <c r="W9" s="243"/>
      <c r="X9" s="243"/>
      <c r="Y9" s="243"/>
      <c r="Z9" s="243"/>
    </row>
    <row r="10" spans="1:26" s="11" customFormat="1" x14ac:dyDescent="0.2">
      <c r="A10" s="157" t="str">
        <f>IF(AND(WEEKDAY($B10,2)&lt;&gt;3,VLOOKUP($B10,Info!$AO$7:$AO$17,1)=$B10)," ","")&amp;IF(WEEKDAY(B10,2)=1,INT((B10-(DATE(YEAR(B10+(MOD(8-WEEKDAY(B10),7)-3)),1,1))-3+
MOD(WEEKDAY(DATE(YEAR(B10+(MOD(8-WEEKDAY(B10),7)-3)),1,1))+1,7))/7)+1,"")</f>
        <v/>
      </c>
      <c r="B10" s="68">
        <f t="shared" si="0"/>
        <v>41733</v>
      </c>
      <c r="C10" s="59"/>
      <c r="D10" s="59"/>
      <c r="E10" s="59"/>
      <c r="F10" s="59"/>
      <c r="G10" s="216">
        <f>IF(AND(OR(WEEKDAY(B10,2)&gt;5,LEFT(A10,1)=" "),$C10=""),"",IF(E10&gt;0,(E10*60+F10)-(C10*60+D10)-H10+TRUNC(Info!$D$10*(I10/100)),IF(MID(C10,1,2)="Fl",0,Info!AE44))-Info!AE44)</f>
        <v>0</v>
      </c>
      <c r="H10" s="185">
        <f>IF(AND(Info!$C$46&gt;0,$E10&gt;$C10),IF(Info!AE44=Info!$D$12,,Info!$C$46),)</f>
        <v>0</v>
      </c>
      <c r="I10" s="185"/>
      <c r="J10" s="175" t="str">
        <f>" "&amp;Info!AE10</f>
        <v xml:space="preserve"> </v>
      </c>
      <c r="K10" s="323"/>
      <c r="L10" s="324"/>
      <c r="M10" s="327"/>
      <c r="P10" s="243"/>
      <c r="Q10" s="243"/>
      <c r="R10" s="243"/>
      <c r="S10" s="243"/>
      <c r="T10" s="243"/>
      <c r="U10" s="243"/>
      <c r="V10" s="243"/>
      <c r="W10" s="243"/>
      <c r="X10" s="243"/>
      <c r="Y10" s="243"/>
      <c r="Z10" s="243"/>
    </row>
    <row r="11" spans="1:26" s="11" customFormat="1" x14ac:dyDescent="0.2">
      <c r="A11" s="157" t="str">
        <f>IF(AND(WEEKDAY($B11,2)&lt;&gt;3,VLOOKUP($B11,Info!$AO$7:$AO$17,1)=$B11)," ","")&amp;IF(WEEKDAY(B11,2)=1,INT((B11-(DATE(YEAR(B11+(MOD(8-WEEKDAY(B11),7)-3)),1,1))-3+
MOD(WEEKDAY(DATE(YEAR(B11+(MOD(8-WEEKDAY(B11),7)-3)),1,1))+1,7))/7)+1,"")</f>
        <v/>
      </c>
      <c r="B11" s="68">
        <f t="shared" si="0"/>
        <v>41734</v>
      </c>
      <c r="C11" s="59"/>
      <c r="D11" s="59"/>
      <c r="E11" s="59"/>
      <c r="F11" s="59"/>
      <c r="G11" s="216" t="str">
        <f>IF(AND(OR(WEEKDAY(B11,2)&gt;5,LEFT(A11,1)=" "),$C11=""),"",IF(E11&gt;0,(E11*60+F11)-(C11*60+D11)-H11+TRUNC(Info!$D$10*(I11/100)),IF(MID(C11,1,2)="Fl",0,Info!AE45))-Info!AE45)</f>
        <v/>
      </c>
      <c r="H11" s="185">
        <f>IF(AND(Info!$C$46&gt;0,$E11&gt;$C11),IF(Info!AE45=Info!$D$12,,Info!$C$46),)</f>
        <v>0</v>
      </c>
      <c r="I11" s="185"/>
      <c r="J11" s="175" t="str">
        <f>" "&amp;Info!AE11</f>
        <v xml:space="preserve"> </v>
      </c>
      <c r="K11" s="323"/>
      <c r="L11" s="324"/>
      <c r="M11" s="328"/>
      <c r="P11" s="243"/>
      <c r="Q11" s="243"/>
      <c r="R11" s="243"/>
      <c r="S11" s="243"/>
      <c r="T11" s="243"/>
      <c r="U11" s="243"/>
      <c r="V11" s="243"/>
      <c r="W11" s="243"/>
      <c r="X11" s="243"/>
      <c r="Y11" s="243"/>
      <c r="Z11" s="243"/>
    </row>
    <row r="12" spans="1:26" x14ac:dyDescent="0.2">
      <c r="A12" s="157" t="str">
        <f>IF(AND(WEEKDAY($B12,2)&lt;&gt;3,VLOOKUP($B12,Info!$AO$7:$AO$17,1)=$B12)," ","")&amp;IF(WEEKDAY(B12,2)=1,INT((B12-(DATE(YEAR(B12+(MOD(8-WEEKDAY(B12),7)-3)),1,1))-3+
MOD(WEEKDAY(DATE(YEAR(B12+(MOD(8-WEEKDAY(B12),7)-3)),1,1))+1,7))/7)+1,"")</f>
        <v/>
      </c>
      <c r="B12" s="68">
        <f t="shared" si="0"/>
        <v>41735</v>
      </c>
      <c r="C12" s="59"/>
      <c r="D12" s="59"/>
      <c r="E12" s="59"/>
      <c r="F12" s="59"/>
      <c r="G12" s="216" t="str">
        <f>IF(AND(OR(WEEKDAY(B12,2)&gt;5,LEFT(A12,1)=" "),$C12=""),"",IF(E12&gt;0,(E12*60+F12)-(C12*60+D12)-H12+TRUNC(Info!$D$10*(I12/100)),IF(MID(C12,1,2)="Fl",0,Info!AE46))-Info!AE46)</f>
        <v/>
      </c>
      <c r="H12" s="185">
        <f>IF(AND(Info!$C$46&gt;0,$E12&gt;$C12),IF(Info!AE46=Info!$D$12,,Info!$C$46),)</f>
        <v>0</v>
      </c>
      <c r="I12" s="185"/>
      <c r="J12" s="175" t="str">
        <f>" "&amp;Info!AE12</f>
        <v xml:space="preserve"> </v>
      </c>
      <c r="K12" s="323"/>
      <c r="L12" s="324"/>
      <c r="M12" s="140"/>
    </row>
    <row r="13" spans="1:26" s="11" customFormat="1" x14ac:dyDescent="0.2">
      <c r="A13" s="157" t="str">
        <f>IF(AND(WEEKDAY($B13,2)&lt;&gt;3,VLOOKUP($B13,Info!$AO$7:$AO$17,1)=$B13)," ","")&amp;IF(WEEKDAY(B13,2)=1,INT((B13-(DATE(YEAR(B13+(MOD(8-WEEKDAY(B13),7)-3)),1,1))-3+
MOD(WEEKDAY(DATE(YEAR(B13+(MOD(8-WEEKDAY(B13),7)-3)),1,1))+1,7))/7)+1,"")</f>
        <v>15</v>
      </c>
      <c r="B13" s="68">
        <f t="shared" si="0"/>
        <v>41736</v>
      </c>
      <c r="C13" s="59"/>
      <c r="D13" s="59"/>
      <c r="E13" s="59"/>
      <c r="F13" s="59"/>
      <c r="G13" s="216">
        <f>IF(AND(OR(WEEKDAY(B13,2)&gt;5,LEFT(A13,1)=" "),$C13=""),"",IF(E13&gt;0,(E13*60+F13)-(C13*60+D13)-H13+TRUNC(Info!$D$10*(I13/100)),IF(MID(C13,1,2)="Fl",0,Info!AE47))-Info!AE47)</f>
        <v>0</v>
      </c>
      <c r="H13" s="185">
        <f>IF(AND(Info!$C$46&gt;0,$E13&gt;$C13),IF(Info!AE47=Info!$D$12,,Info!$C$46),)</f>
        <v>0</v>
      </c>
      <c r="I13" s="185"/>
      <c r="J13" s="175" t="str">
        <f>" "&amp;Info!AE13</f>
        <v xml:space="preserve"> </v>
      </c>
      <c r="K13" s="323"/>
      <c r="L13" s="324"/>
      <c r="M13" s="327"/>
      <c r="P13" s="243"/>
      <c r="Q13" s="243"/>
      <c r="R13" s="243"/>
      <c r="S13" s="243"/>
      <c r="T13" s="243"/>
      <c r="U13" s="243"/>
      <c r="V13" s="243"/>
      <c r="W13" s="243"/>
      <c r="X13" s="243"/>
      <c r="Y13" s="243"/>
      <c r="Z13" s="243"/>
    </row>
    <row r="14" spans="1:26" s="11" customFormat="1" x14ac:dyDescent="0.2">
      <c r="A14" s="157" t="str">
        <f>IF(AND(WEEKDAY($B14,2)&lt;&gt;3,VLOOKUP($B14,Info!$AO$7:$AO$17,1)=$B14)," ","")&amp;IF(WEEKDAY(B14,2)=1,INT((B14-(DATE(YEAR(B14+(MOD(8-WEEKDAY(B14),7)-3)),1,1))-3+
MOD(WEEKDAY(DATE(YEAR(B14+(MOD(8-WEEKDAY(B14),7)-3)),1,1))+1,7))/7)+1,"")</f>
        <v/>
      </c>
      <c r="B14" s="68">
        <f t="shared" si="0"/>
        <v>41737</v>
      </c>
      <c r="C14" s="59"/>
      <c r="D14" s="59"/>
      <c r="E14" s="59"/>
      <c r="F14" s="59"/>
      <c r="G14" s="216">
        <f>IF(AND(OR(WEEKDAY(B14,2)&gt;5,LEFT(A14,1)=" "),$C14=""),"",IF(E14&gt;0,(E14*60+F14)-(C14*60+D14)-H14+TRUNC(Info!$D$10*(I14/100)),IF(MID(C14,1,2)="Fl",0,Info!AE48))-Info!AE48)</f>
        <v>0</v>
      </c>
      <c r="H14" s="185">
        <f>IF(AND(Info!$C$46&gt;0,$E14&gt;$C14),IF(Info!AE48=Info!$D$12,,Info!$C$46),)</f>
        <v>0</v>
      </c>
      <c r="I14" s="185"/>
      <c r="J14" s="175" t="str">
        <f>" "&amp;Info!AE14</f>
        <v xml:space="preserve"> </v>
      </c>
      <c r="K14" s="323"/>
      <c r="L14" s="324"/>
      <c r="M14" s="327"/>
      <c r="P14" s="243"/>
      <c r="Q14" s="243"/>
      <c r="R14" s="243"/>
      <c r="S14" s="243"/>
      <c r="T14" s="243"/>
      <c r="U14" s="243"/>
      <c r="V14" s="243"/>
      <c r="W14" s="243"/>
      <c r="X14" s="243"/>
      <c r="Y14" s="243"/>
      <c r="Z14" s="243"/>
    </row>
    <row r="15" spans="1:26" s="11" customFormat="1" x14ac:dyDescent="0.2">
      <c r="A15" s="157" t="str">
        <f>IF(AND(WEEKDAY($B15,2)&lt;&gt;3,VLOOKUP($B15,Info!$AO$7:$AO$17,1)=$B15)," ","")&amp;IF(WEEKDAY(B15,2)=1,INT((B15-(DATE(YEAR(B15+(MOD(8-WEEKDAY(B15),7)-3)),1,1))-3+
MOD(WEEKDAY(DATE(YEAR(B15+(MOD(8-WEEKDAY(B15),7)-3)),1,1))+1,7))/7)+1,"")</f>
        <v/>
      </c>
      <c r="B15" s="68">
        <f t="shared" si="0"/>
        <v>41738</v>
      </c>
      <c r="C15" s="59"/>
      <c r="D15" s="59"/>
      <c r="E15" s="59"/>
      <c r="F15" s="59"/>
      <c r="G15" s="216">
        <f>IF(AND(OR(WEEKDAY(B15,2)&gt;5,LEFT(A15,1)=" "),$C15=""),"",IF(E15&gt;0,(E15*60+F15)-(C15*60+D15)-H15+TRUNC(Info!$D$10*(I15/100)),IF(MID(C15,1,2)="Fl",0,Info!AE49))-Info!AE49)</f>
        <v>0</v>
      </c>
      <c r="H15" s="185">
        <f>IF(AND(Info!$C$46&gt;0,$E15&gt;$C15),IF(Info!AE49=Info!$D$12,,Info!$C$46),)</f>
        <v>0</v>
      </c>
      <c r="I15" s="185"/>
      <c r="J15" s="175" t="str">
        <f>" "&amp;Info!AE15</f>
        <v xml:space="preserve"> </v>
      </c>
      <c r="K15" s="323"/>
      <c r="L15" s="324"/>
      <c r="M15" s="327"/>
      <c r="P15" s="243"/>
      <c r="Q15" s="243"/>
      <c r="R15" s="243"/>
      <c r="S15" s="243"/>
      <c r="T15" s="243"/>
      <c r="U15" s="243"/>
      <c r="V15" s="243"/>
      <c r="W15" s="243"/>
      <c r="X15" s="243"/>
      <c r="Y15" s="243"/>
      <c r="Z15" s="243"/>
    </row>
    <row r="16" spans="1:26" s="11" customFormat="1" x14ac:dyDescent="0.2">
      <c r="A16" s="157" t="str">
        <f>IF(AND(WEEKDAY($B16,2)&lt;&gt;3,VLOOKUP($B16,Info!$AO$7:$AO$17,1)=$B16)," ","")&amp;IF(WEEKDAY(B16,2)=1,INT((B16-(DATE(YEAR(B16+(MOD(8-WEEKDAY(B16),7)-3)),1,1))-3+
MOD(WEEKDAY(DATE(YEAR(B16+(MOD(8-WEEKDAY(B16),7)-3)),1,1))+1,7))/7)+1,"")</f>
        <v/>
      </c>
      <c r="B16" s="68">
        <f t="shared" si="0"/>
        <v>41739</v>
      </c>
      <c r="C16" s="59"/>
      <c r="D16" s="59"/>
      <c r="E16" s="59"/>
      <c r="F16" s="59"/>
      <c r="G16" s="216">
        <f>IF(AND(OR(WEEKDAY(B16,2)&gt;5,LEFT(A16,1)=" "),$C16=""),"",IF(E16&gt;0,(E16*60+F16)-(C16*60+D16)-H16+TRUNC(Info!$D$10*(I16/100)),IF(MID(C16,1,2)="Fl",0,Info!AE50))-Info!AE50)</f>
        <v>0</v>
      </c>
      <c r="H16" s="185">
        <f>IF(AND(Info!$C$46&gt;0,$E16&gt;$C16),IF(Info!AE50=Info!$D$12,,Info!$C$46),)</f>
        <v>0</v>
      </c>
      <c r="I16" s="185"/>
      <c r="J16" s="175" t="str">
        <f>" "&amp;Info!AE16</f>
        <v xml:space="preserve"> </v>
      </c>
      <c r="K16" s="323"/>
      <c r="L16" s="324"/>
      <c r="M16" s="327"/>
      <c r="P16" s="243"/>
      <c r="Q16" s="243"/>
      <c r="R16" s="243"/>
      <c r="S16" s="243"/>
      <c r="T16" s="243"/>
      <c r="U16" s="243"/>
      <c r="V16" s="243"/>
      <c r="W16" s="243"/>
      <c r="X16" s="243"/>
      <c r="Y16" s="243"/>
      <c r="Z16" s="243"/>
    </row>
    <row r="17" spans="1:26" s="11" customFormat="1" x14ac:dyDescent="0.2">
      <c r="A17" s="157" t="str">
        <f>IF(AND(WEEKDAY($B17,2)&lt;&gt;3,VLOOKUP($B17,Info!$AO$7:$AO$17,1)=$B17)," ","")&amp;IF(WEEKDAY(B17,2)=1,INT((B17-(DATE(YEAR(B17+(MOD(8-WEEKDAY(B17),7)-3)),1,1))-3+
MOD(WEEKDAY(DATE(YEAR(B17+(MOD(8-WEEKDAY(B17),7)-3)),1,1))+1,7))/7)+1,"")</f>
        <v/>
      </c>
      <c r="B17" s="68">
        <f t="shared" si="0"/>
        <v>41740</v>
      </c>
      <c r="C17" s="59"/>
      <c r="D17" s="59"/>
      <c r="E17" s="59"/>
      <c r="F17" s="59"/>
      <c r="G17" s="216">
        <f>IF(AND(OR(WEEKDAY(B17,2)&gt;5,LEFT(A17,1)=" "),$C17=""),"",IF(E17&gt;0,(E17*60+F17)-(C17*60+D17)-H17+TRUNC(Info!$D$10*(I17/100)),IF(MID(C17,1,2)="Fl",0,Info!AE51))-Info!AE51)</f>
        <v>0</v>
      </c>
      <c r="H17" s="185">
        <f>IF(AND(Info!$C$46&gt;0,$E17&gt;$C17),IF(Info!AE51=Info!$D$12,,Info!$C$46),)</f>
        <v>0</v>
      </c>
      <c r="I17" s="185"/>
      <c r="J17" s="175" t="str">
        <f>" "&amp;Info!AE17</f>
        <v xml:space="preserve"> </v>
      </c>
      <c r="K17" s="323"/>
      <c r="L17" s="324"/>
      <c r="M17" s="327"/>
      <c r="P17" s="243"/>
      <c r="Q17" s="243"/>
      <c r="R17" s="243"/>
      <c r="S17" s="243"/>
      <c r="T17" s="243"/>
      <c r="U17" s="243"/>
      <c r="V17" s="243"/>
      <c r="W17" s="243"/>
      <c r="X17" s="243"/>
      <c r="Y17" s="243"/>
      <c r="Z17" s="243"/>
    </row>
    <row r="18" spans="1:26" s="11" customFormat="1" x14ac:dyDescent="0.2">
      <c r="A18" s="157" t="str">
        <f>IF(AND(WEEKDAY($B18,2)&lt;&gt;3,VLOOKUP($B18,Info!$AO$7:$AO$17,1)=$B18)," ","")&amp;IF(WEEKDAY(B18,2)=1,INT((B18-(DATE(YEAR(B18+(MOD(8-WEEKDAY(B18),7)-3)),1,1))-3+
MOD(WEEKDAY(DATE(YEAR(B18+(MOD(8-WEEKDAY(B18),7)-3)),1,1))+1,7))/7)+1,"")</f>
        <v/>
      </c>
      <c r="B18" s="68">
        <f t="shared" si="0"/>
        <v>41741</v>
      </c>
      <c r="C18" s="59"/>
      <c r="D18" s="59"/>
      <c r="E18" s="59"/>
      <c r="F18" s="59"/>
      <c r="G18" s="216" t="str">
        <f>IF(AND(OR(WEEKDAY(B18,2)&gt;5,LEFT(A18,1)=" "),$C18=""),"",IF(E18&gt;0,(E18*60+F18)-(C18*60+D18)-H18+TRUNC(Info!$D$10*(I18/100)),IF(MID(C18,1,2)="Fl",0,Info!AE52))-Info!AE52)</f>
        <v/>
      </c>
      <c r="H18" s="185">
        <f>IF(AND(Info!$C$46&gt;0,$E18&gt;$C18),IF(Info!AE52=Info!$D$12,,Info!$C$46),)</f>
        <v>0</v>
      </c>
      <c r="I18" s="185"/>
      <c r="J18" s="175" t="str">
        <f>" "&amp;Info!AE18</f>
        <v xml:space="preserve"> </v>
      </c>
      <c r="K18" s="323"/>
      <c r="L18" s="324"/>
      <c r="M18" s="327"/>
      <c r="P18" s="243"/>
      <c r="Q18" s="243"/>
      <c r="R18" s="243"/>
      <c r="S18" s="243"/>
      <c r="T18" s="243"/>
      <c r="U18" s="243"/>
      <c r="V18" s="243"/>
      <c r="W18" s="243"/>
      <c r="X18" s="243"/>
      <c r="Y18" s="243"/>
      <c r="Z18" s="243"/>
    </row>
    <row r="19" spans="1:26" s="11" customFormat="1" x14ac:dyDescent="0.2">
      <c r="A19" s="157" t="str">
        <f>IF(AND(WEEKDAY($B19,2)&lt;&gt;3,VLOOKUP($B19,Info!$AO$7:$AO$17,1)=$B19)," ","")&amp;IF(WEEKDAY(B19,2)=1,INT((B19-(DATE(YEAR(B19+(MOD(8-WEEKDAY(B19),7)-3)),1,1))-3+
MOD(WEEKDAY(DATE(YEAR(B19+(MOD(8-WEEKDAY(B19),7)-3)),1,1))+1,7))/7)+1,"")</f>
        <v xml:space="preserve"> </v>
      </c>
      <c r="B19" s="68">
        <f t="shared" si="0"/>
        <v>41742</v>
      </c>
      <c r="C19" s="59"/>
      <c r="D19" s="59"/>
      <c r="E19" s="59"/>
      <c r="F19" s="59"/>
      <c r="G19" s="216" t="str">
        <f>IF(AND(OR(WEEKDAY(B19,2)&gt;5,LEFT(A19,1)=" "),$C19=""),"",IF(E19&gt;0,(E19*60+F19)-(C19*60+D19)-H19+TRUNC(Info!$D$10*(I19/100)),IF(MID(C19,1,2)="Fl",0,Info!AE53))-Info!AE53)</f>
        <v/>
      </c>
      <c r="H19" s="185">
        <f>IF(AND(Info!$C$46&gt;0,$E19&gt;$C19),IF(Info!AE53=Info!$D$12,,Info!$C$46),)</f>
        <v>0</v>
      </c>
      <c r="I19" s="185"/>
      <c r="J19" s="175" t="str">
        <f>" "&amp;Info!AE19</f>
        <v xml:space="preserve"> Palmesøndag</v>
      </c>
      <c r="K19" s="323"/>
      <c r="L19" s="324"/>
      <c r="M19" s="327"/>
      <c r="P19" s="243"/>
      <c r="Q19" s="243"/>
      <c r="R19" s="243"/>
      <c r="S19" s="243"/>
      <c r="T19" s="243"/>
      <c r="U19" s="243"/>
      <c r="V19" s="243"/>
      <c r="W19" s="243"/>
      <c r="X19" s="243"/>
      <c r="Y19" s="243"/>
      <c r="Z19" s="243"/>
    </row>
    <row r="20" spans="1:26" s="11" customFormat="1" x14ac:dyDescent="0.2">
      <c r="A20" s="157" t="str">
        <f>IF(AND(WEEKDAY($B20,2)&lt;&gt;3,VLOOKUP($B20,Info!$AO$7:$AO$17,1)=$B20)," ","")&amp;IF(WEEKDAY(B20,2)=1,INT((B20-(DATE(YEAR(B20+(MOD(8-WEEKDAY(B20),7)-3)),1,1))-3+
MOD(WEEKDAY(DATE(YEAR(B20+(MOD(8-WEEKDAY(B20),7)-3)),1,1))+1,7))/7)+1,"")</f>
        <v>16</v>
      </c>
      <c r="B20" s="68">
        <f t="shared" si="0"/>
        <v>41743</v>
      </c>
      <c r="C20" s="59"/>
      <c r="D20" s="59"/>
      <c r="E20" s="59"/>
      <c r="F20" s="59"/>
      <c r="G20" s="216">
        <f>IF(AND(OR(WEEKDAY(B20,2)&gt;5,LEFT(A20,1)=" "),$C20=""),"",IF(E20&gt;0,(E20*60+F20)-(C20*60+D20)-H20+TRUNC(Info!$D$10*(I20/100)),IF(MID(C20,1,2)="Fl",0,Info!AE54))-Info!AE54)</f>
        <v>0</v>
      </c>
      <c r="H20" s="185">
        <f>IF(AND(Info!$C$46&gt;0,$E20&gt;$C20),IF(Info!AE54=Info!$D$12,,Info!$C$46),)</f>
        <v>0</v>
      </c>
      <c r="I20" s="185"/>
      <c r="J20" s="175" t="str">
        <f>" "&amp;Info!AE20</f>
        <v xml:space="preserve"> </v>
      </c>
      <c r="K20" s="323"/>
      <c r="L20" s="324"/>
      <c r="M20" s="327"/>
      <c r="P20" s="243"/>
      <c r="Q20" s="243"/>
      <c r="R20" s="243"/>
      <c r="S20" s="243"/>
      <c r="T20" s="243"/>
      <c r="U20" s="243"/>
      <c r="V20" s="243"/>
      <c r="W20" s="243"/>
      <c r="X20" s="243"/>
      <c r="Y20" s="243"/>
      <c r="Z20" s="243"/>
    </row>
    <row r="21" spans="1:26" s="11" customFormat="1" x14ac:dyDescent="0.2">
      <c r="A21" s="157" t="str">
        <f>IF(AND(WEEKDAY($B21,2)&lt;&gt;3,VLOOKUP($B21,Info!$AO$7:$AO$17,1)=$B21)," ","")&amp;IF(WEEKDAY(B21,2)=1,INT((B21-(DATE(YEAR(B21+(MOD(8-WEEKDAY(B21),7)-3)),1,1))-3+
MOD(WEEKDAY(DATE(YEAR(B21+(MOD(8-WEEKDAY(B21),7)-3)),1,1))+1,7))/7)+1,"")</f>
        <v/>
      </c>
      <c r="B21" s="68">
        <f t="shared" si="0"/>
        <v>41744</v>
      </c>
      <c r="C21" s="59"/>
      <c r="D21" s="59"/>
      <c r="E21" s="59"/>
      <c r="F21" s="59"/>
      <c r="G21" s="216">
        <f>IF(AND(OR(WEEKDAY(B21,2)&gt;5,LEFT(A21,1)=" "),$C21=""),"",IF(E21&gt;0,(E21*60+F21)-(C21*60+D21)-H21+TRUNC(Info!$D$10*(I21/100)),IF(MID(C21,1,2)="Fl",0,Info!AE55))-Info!AE55)</f>
        <v>0</v>
      </c>
      <c r="H21" s="185">
        <f>IF(AND(Info!$C$46&gt;0,$E21&gt;$C21),IF(Info!AE55=Info!$D$12,,Info!$C$46),)</f>
        <v>0</v>
      </c>
      <c r="I21" s="185"/>
      <c r="J21" s="175" t="str">
        <f>" "&amp;Info!AE21</f>
        <v xml:space="preserve"> </v>
      </c>
      <c r="K21" s="323"/>
      <c r="L21" s="324"/>
      <c r="M21" s="327"/>
      <c r="P21" s="243"/>
      <c r="Q21" s="243"/>
      <c r="R21" s="243"/>
      <c r="S21" s="243"/>
      <c r="T21" s="243"/>
      <c r="U21" s="243"/>
      <c r="V21" s="243"/>
      <c r="W21" s="243"/>
      <c r="X21" s="243"/>
      <c r="Y21" s="243"/>
      <c r="Z21" s="243"/>
    </row>
    <row r="22" spans="1:26" s="11" customFormat="1" x14ac:dyDescent="0.2">
      <c r="A22" s="157" t="str">
        <f>IF(AND(WEEKDAY($B22,2)&lt;&gt;3,VLOOKUP($B22,Info!$AO$7:$AO$17,1)=$B22)," ","")&amp;IF(WEEKDAY(B22,2)=1,INT((B22-(DATE(YEAR(B22+(MOD(8-WEEKDAY(B22),7)-3)),1,1))-3+
MOD(WEEKDAY(DATE(YEAR(B22+(MOD(8-WEEKDAY(B22),7)-3)),1,1))+1,7))/7)+1,"")</f>
        <v/>
      </c>
      <c r="B22" s="68">
        <f t="shared" si="0"/>
        <v>41745</v>
      </c>
      <c r="C22" s="59"/>
      <c r="D22" s="59"/>
      <c r="E22" s="59"/>
      <c r="F22" s="59"/>
      <c r="G22" s="216">
        <f>IF(AND(OR(WEEKDAY(B22,2)&gt;5,LEFT(A22,1)=" "),$C22=""),"",IF(E22&gt;0,(E22*60+F22)-(C22*60+D22)-H22+TRUNC(Info!$D$10*(I22/100)),IF(MID(C22,1,2)="Fl",0,Info!AE56))-Info!AE56)</f>
        <v>0</v>
      </c>
      <c r="H22" s="185">
        <f>IF(AND(Info!$C$46&gt;0,$E22&gt;$C22),IF(Info!AE56=Info!$D$12,,Info!$C$46),)</f>
        <v>0</v>
      </c>
      <c r="I22" s="185"/>
      <c r="J22" s="175" t="str">
        <f>" "&amp;Info!AE22</f>
        <v xml:space="preserve"> Halv dag</v>
      </c>
      <c r="K22" s="323"/>
      <c r="L22" s="324"/>
      <c r="M22" s="327"/>
      <c r="P22" s="243"/>
      <c r="Q22" s="243"/>
      <c r="R22" s="243"/>
      <c r="S22" s="243"/>
      <c r="T22" s="243"/>
      <c r="U22" s="243"/>
      <c r="V22" s="243"/>
      <c r="W22" s="243"/>
      <c r="X22" s="243"/>
      <c r="Y22" s="243"/>
      <c r="Z22" s="243"/>
    </row>
    <row r="23" spans="1:26" s="11" customFormat="1" x14ac:dyDescent="0.2">
      <c r="A23" s="157" t="str">
        <f>IF(AND(WEEKDAY($B23,2)&lt;&gt;3,VLOOKUP($B23,Info!$AO$7:$AO$17,1)=$B23)," ","")&amp;IF(WEEKDAY(B23,2)=1,INT((B23-(DATE(YEAR(B23+(MOD(8-WEEKDAY(B23),7)-3)),1,1))-3+
MOD(WEEKDAY(DATE(YEAR(B23+(MOD(8-WEEKDAY(B23),7)-3)),1,1))+1,7))/7)+1,"")</f>
        <v xml:space="preserve"> </v>
      </c>
      <c r="B23" s="68">
        <f t="shared" si="0"/>
        <v>41746</v>
      </c>
      <c r="C23" s="59"/>
      <c r="D23" s="59"/>
      <c r="E23" s="59"/>
      <c r="F23" s="59"/>
      <c r="G23" s="216" t="str">
        <f>IF(AND(OR(WEEKDAY(B23,2)&gt;5,LEFT(A23,1)=" "),$C23=""),"",IF(E23&gt;0,(E23*60+F23)-(C23*60+D23)-H23+TRUNC(Info!$D$10*(I23/100)),IF(MID(C23,1,2)="Fl",0,Info!AE57))-Info!AE57)</f>
        <v/>
      </c>
      <c r="H23" s="185">
        <f>IF(AND(Info!$C$46&gt;0,$E23&gt;$C23),IF(Info!AE57=Info!$D$12,,Info!$C$46),)</f>
        <v>0</v>
      </c>
      <c r="I23" s="185"/>
      <c r="J23" s="175" t="str">
        <f>" "&amp;Info!AE23</f>
        <v xml:space="preserve"> Skjærtorsdag</v>
      </c>
      <c r="K23" s="323"/>
      <c r="L23" s="324"/>
      <c r="M23" s="327"/>
      <c r="P23" s="243"/>
      <c r="Q23" s="243"/>
      <c r="R23" s="243"/>
      <c r="S23" s="243"/>
      <c r="T23" s="243"/>
      <c r="U23" s="243"/>
      <c r="V23" s="243"/>
      <c r="W23" s="243"/>
      <c r="X23" s="243"/>
      <c r="Y23" s="243"/>
      <c r="Z23" s="243"/>
    </row>
    <row r="24" spans="1:26" s="11" customFormat="1" x14ac:dyDescent="0.2">
      <c r="A24" s="157" t="str">
        <f>IF(AND(WEEKDAY($B24,2)&lt;&gt;3,VLOOKUP($B24,Info!$AO$7:$AO$17,1)=$B24)," ","")&amp;IF(WEEKDAY(B24,2)=1,INT((B24-(DATE(YEAR(B24+(MOD(8-WEEKDAY(B24),7)-3)),1,1))-3+
MOD(WEEKDAY(DATE(YEAR(B24+(MOD(8-WEEKDAY(B24),7)-3)),1,1))+1,7))/7)+1,"")</f>
        <v xml:space="preserve"> </v>
      </c>
      <c r="B24" s="68">
        <f t="shared" si="0"/>
        <v>41747</v>
      </c>
      <c r="C24" s="59"/>
      <c r="D24" s="59"/>
      <c r="E24" s="59"/>
      <c r="F24" s="59"/>
      <c r="G24" s="216" t="str">
        <f>IF(AND(OR(WEEKDAY(B24,2)&gt;5,LEFT(A24,1)=" "),$C24=""),"",IF(E24&gt;0,(E24*60+F24)-(C24*60+D24)-H24+TRUNC(Info!$D$10*(I24/100)),IF(MID(C24,1,2)="Fl",0,Info!AE58))-Info!AE58)</f>
        <v/>
      </c>
      <c r="H24" s="185">
        <f>IF(AND(Info!$C$46&gt;0,$E24&gt;$C24),IF(Info!AE58=Info!$D$12,,Info!$C$46),)</f>
        <v>0</v>
      </c>
      <c r="I24" s="185"/>
      <c r="J24" s="175" t="str">
        <f>" "&amp;Info!AE24</f>
        <v xml:space="preserve"> Langfredag</v>
      </c>
      <c r="K24" s="323"/>
      <c r="L24" s="324"/>
      <c r="M24" s="327"/>
      <c r="P24" s="243"/>
      <c r="Q24" s="243"/>
      <c r="R24" s="243"/>
      <c r="S24" s="243"/>
      <c r="T24" s="243"/>
      <c r="U24" s="243"/>
      <c r="V24" s="243"/>
      <c r="W24" s="243"/>
      <c r="X24" s="243"/>
      <c r="Y24" s="243"/>
      <c r="Z24" s="243"/>
    </row>
    <row r="25" spans="1:26" s="11" customFormat="1" x14ac:dyDescent="0.2">
      <c r="A25" s="157" t="str">
        <f>IF(AND(WEEKDAY($B25,2)&lt;&gt;3,VLOOKUP($B25,Info!$AO$7:$AO$17,1)=$B25)," ","")&amp;IF(WEEKDAY(B25,2)=1,INT((B25-(DATE(YEAR(B25+(MOD(8-WEEKDAY(B25),7)-3)),1,1))-3+
MOD(WEEKDAY(DATE(YEAR(B25+(MOD(8-WEEKDAY(B25),7)-3)),1,1))+1,7))/7)+1,"")</f>
        <v/>
      </c>
      <c r="B25" s="68">
        <f t="shared" si="0"/>
        <v>41748</v>
      </c>
      <c r="C25" s="59"/>
      <c r="D25" s="59"/>
      <c r="E25" s="59"/>
      <c r="F25" s="59"/>
      <c r="G25" s="216" t="str">
        <f>IF(AND(OR(WEEKDAY(B25,2)&gt;5,LEFT(A25,1)=" "),$C25=""),"",IF(E25&gt;0,(E25*60+F25)-(C25*60+D25)-H25+TRUNC(Info!$D$10*(I25/100)),IF(MID(C25,1,2)="Fl",0,Info!AE59))-Info!AE59)</f>
        <v/>
      </c>
      <c r="H25" s="185">
        <f>IF(AND(Info!$C$46&gt;0,$E25&gt;$C25),IF(Info!AE59=Info!$D$12,,Info!$C$46),)</f>
        <v>0</v>
      </c>
      <c r="I25" s="185"/>
      <c r="J25" s="175" t="str">
        <f>" "&amp;Info!AE25</f>
        <v xml:space="preserve"> </v>
      </c>
      <c r="K25" s="323"/>
      <c r="L25" s="324"/>
      <c r="M25" s="327"/>
      <c r="P25" s="243"/>
      <c r="Q25" s="243"/>
      <c r="R25" s="243"/>
      <c r="S25" s="243"/>
      <c r="T25" s="243"/>
      <c r="U25" s="243"/>
      <c r="V25" s="243"/>
      <c r="W25" s="243"/>
      <c r="X25" s="243"/>
      <c r="Y25" s="243"/>
      <c r="Z25" s="243"/>
    </row>
    <row r="26" spans="1:26" s="11" customFormat="1" x14ac:dyDescent="0.2">
      <c r="A26" s="157" t="str">
        <f>IF(AND(WEEKDAY($B26,2)&lt;&gt;3,VLOOKUP($B26,Info!$AO$7:$AO$17,1)=$B26)," ","")&amp;IF(WEEKDAY(B26,2)=1,INT((B26-(DATE(YEAR(B26+(MOD(8-WEEKDAY(B26),7)-3)),1,1))-3+
MOD(WEEKDAY(DATE(YEAR(B26+(MOD(8-WEEKDAY(B26),7)-3)),1,1))+1,7))/7)+1,"")</f>
        <v xml:space="preserve"> </v>
      </c>
      <c r="B26" s="68">
        <f t="shared" si="0"/>
        <v>41749</v>
      </c>
      <c r="C26" s="59"/>
      <c r="D26" s="59"/>
      <c r="E26" s="59"/>
      <c r="F26" s="59"/>
      <c r="G26" s="216" t="str">
        <f>IF(AND(OR(WEEKDAY(B26,2)&gt;5,LEFT(A26,1)=" "),$C26=""),"",IF(E26&gt;0,(E26*60+F26)-(C26*60+D26)-H26+TRUNC(Info!$D$10*(I26/100)),IF(MID(C26,1,2)="Fl",0,Info!AE60))-Info!AE60)</f>
        <v/>
      </c>
      <c r="H26" s="185">
        <f>IF(AND(Info!$C$46&gt;0,$E26&gt;$C26),IF(Info!AE60=Info!$D$12,,Info!$C$46),)</f>
        <v>0</v>
      </c>
      <c r="I26" s="185"/>
      <c r="J26" s="175" t="str">
        <f>" "&amp;Info!AE26</f>
        <v xml:space="preserve"> 1. påskedag</v>
      </c>
      <c r="K26" s="323"/>
      <c r="L26" s="324"/>
      <c r="M26" s="327"/>
      <c r="P26" s="243"/>
      <c r="Q26" s="243"/>
      <c r="R26" s="243"/>
      <c r="S26" s="243"/>
      <c r="T26" s="243"/>
      <c r="U26" s="243"/>
      <c r="V26" s="243"/>
      <c r="W26" s="243"/>
      <c r="X26" s="243"/>
      <c r="Y26" s="243"/>
      <c r="Z26" s="243"/>
    </row>
    <row r="27" spans="1:26" s="11" customFormat="1" x14ac:dyDescent="0.2">
      <c r="A27" s="157" t="str">
        <f>IF(AND(WEEKDAY($B27,2)&lt;&gt;3,VLOOKUP($B27,Info!$AO$7:$AO$17,1)=$B27)," ","")&amp;IF(WEEKDAY(B27,2)=1,INT((B27-(DATE(YEAR(B27+(MOD(8-WEEKDAY(B27),7)-3)),1,1))-3+
MOD(WEEKDAY(DATE(YEAR(B27+(MOD(8-WEEKDAY(B27),7)-3)),1,1))+1,7))/7)+1,"")</f>
        <v xml:space="preserve"> 17</v>
      </c>
      <c r="B27" s="68">
        <f t="shared" si="0"/>
        <v>41750</v>
      </c>
      <c r="C27" s="59"/>
      <c r="D27" s="59"/>
      <c r="E27" s="59"/>
      <c r="F27" s="59"/>
      <c r="G27" s="216" t="str">
        <f>IF(AND(OR(WEEKDAY(B27,2)&gt;5,LEFT(A27,1)=" "),$C27=""),"",IF(E27&gt;0,(E27*60+F27)-(C27*60+D27)-H27+TRUNC(Info!$D$10*(I27/100)),IF(MID(C27,1,2)="Fl",0,Info!AE61))-Info!AE61)</f>
        <v/>
      </c>
      <c r="H27" s="185">
        <f>IF(AND(Info!$C$46&gt;0,$E27&gt;$C27),IF(Info!AE61=Info!$D$12,,Info!$C$46),)</f>
        <v>0</v>
      </c>
      <c r="I27" s="185"/>
      <c r="J27" s="175" t="str">
        <f>" "&amp;Info!AE27</f>
        <v xml:space="preserve"> 2. påskedag</v>
      </c>
      <c r="K27" s="323"/>
      <c r="L27" s="324"/>
      <c r="M27" s="327"/>
      <c r="P27" s="243"/>
      <c r="Q27" s="243"/>
      <c r="R27" s="243"/>
      <c r="S27" s="243"/>
      <c r="T27" s="243"/>
      <c r="U27" s="243"/>
      <c r="V27" s="243"/>
      <c r="W27" s="243"/>
      <c r="X27" s="243"/>
      <c r="Y27" s="243"/>
      <c r="Z27" s="243"/>
    </row>
    <row r="28" spans="1:26" s="11" customFormat="1" x14ac:dyDescent="0.2">
      <c r="A28" s="157" t="str">
        <f>IF(AND(WEEKDAY($B28,2)&lt;&gt;3,VLOOKUP($B28,Info!$AO$7:$AO$17,1)=$B28)," ","")&amp;IF(WEEKDAY(B28,2)=1,INT((B28-(DATE(YEAR(B28+(MOD(8-WEEKDAY(B28),7)-3)),1,1))-3+
MOD(WEEKDAY(DATE(YEAR(B28+(MOD(8-WEEKDAY(B28),7)-3)),1,1))+1,7))/7)+1,"")</f>
        <v/>
      </c>
      <c r="B28" s="68">
        <f t="shared" si="0"/>
        <v>41751</v>
      </c>
      <c r="C28" s="59"/>
      <c r="D28" s="59"/>
      <c r="E28" s="59"/>
      <c r="F28" s="59"/>
      <c r="G28" s="216">
        <f>IF(AND(OR(WEEKDAY(B28,2)&gt;5,LEFT(A28,1)=" "),$C28=""),"",IF(E28&gt;0,(E28*60+F28)-(C28*60+D28)-H28+TRUNC(Info!$D$10*(I28/100)),IF(MID(C28,1,2)="Fl",0,Info!AE62))-Info!AE62)</f>
        <v>0</v>
      </c>
      <c r="H28" s="185">
        <f>IF(AND(Info!$C$46&gt;0,$E28&gt;$C28),IF(Info!AE62=Info!$D$12,,Info!$C$46),)</f>
        <v>0</v>
      </c>
      <c r="I28" s="185"/>
      <c r="J28" s="175" t="str">
        <f>" "&amp;Info!AE28</f>
        <v xml:space="preserve"> </v>
      </c>
      <c r="K28" s="323"/>
      <c r="L28" s="324"/>
      <c r="M28" s="327"/>
      <c r="P28" s="243"/>
      <c r="Q28" s="243"/>
      <c r="R28" s="243"/>
      <c r="S28" s="243"/>
      <c r="T28" s="243"/>
      <c r="U28" s="243"/>
      <c r="V28" s="243"/>
      <c r="W28" s="243"/>
      <c r="X28" s="243"/>
      <c r="Y28" s="243"/>
      <c r="Z28" s="243"/>
    </row>
    <row r="29" spans="1:26" s="11" customFormat="1" x14ac:dyDescent="0.2">
      <c r="A29" s="157" t="str">
        <f>IF(AND(WEEKDAY($B29,2)&lt;&gt;3,VLOOKUP($B29,Info!$AO$7:$AO$17,1)=$B29)," ","")&amp;IF(WEEKDAY(B29,2)=1,INT((B29-(DATE(YEAR(B29+(MOD(8-WEEKDAY(B29),7)-3)),1,1))-3+
MOD(WEEKDAY(DATE(YEAR(B29+(MOD(8-WEEKDAY(B29),7)-3)),1,1))+1,7))/7)+1,"")</f>
        <v/>
      </c>
      <c r="B29" s="68">
        <f t="shared" si="0"/>
        <v>41752</v>
      </c>
      <c r="C29" s="59"/>
      <c r="D29" s="59"/>
      <c r="E29" s="59"/>
      <c r="F29" s="59"/>
      <c r="G29" s="216">
        <f>IF(AND(OR(WEEKDAY(B29,2)&gt;5,LEFT(A29,1)=" "),$C29=""),"",IF(E29&gt;0,(E29*60+F29)-(C29*60+D29)-H29+TRUNC(Info!$D$10*(I29/100)),IF(MID(C29,1,2)="Fl",0,Info!AE63))-Info!AE63)</f>
        <v>0</v>
      </c>
      <c r="H29" s="185">
        <f>IF(AND(Info!$C$46&gt;0,$E29&gt;$C29),Info!$C$46,)</f>
        <v>0</v>
      </c>
      <c r="I29" s="185"/>
      <c r="J29" s="175" t="str">
        <f>" "&amp;Info!AE29</f>
        <v xml:space="preserve"> </v>
      </c>
      <c r="K29" s="323"/>
      <c r="L29" s="324"/>
      <c r="M29" s="327"/>
      <c r="P29" s="243"/>
      <c r="Q29" s="243"/>
      <c r="R29" s="243"/>
      <c r="S29" s="243"/>
      <c r="T29" s="243"/>
      <c r="U29" s="243"/>
      <c r="V29" s="243"/>
      <c r="W29" s="243"/>
      <c r="X29" s="243"/>
      <c r="Y29" s="243"/>
      <c r="Z29" s="243"/>
    </row>
    <row r="30" spans="1:26" s="11" customFormat="1" x14ac:dyDescent="0.2">
      <c r="A30" s="157" t="str">
        <f>IF(AND(WEEKDAY($B30,2)&lt;&gt;3,VLOOKUP($B30,Info!$AO$7:$AO$17,1)=$B30)," ","")&amp;IF(WEEKDAY(B30,2)=1,INT((B30-(DATE(YEAR(B30+(MOD(8-WEEKDAY(B30),7)-3)),1,1))-3+
MOD(WEEKDAY(DATE(YEAR(B30+(MOD(8-WEEKDAY(B30),7)-3)),1,1))+1,7))/7)+1,"")</f>
        <v/>
      </c>
      <c r="B30" s="68">
        <f t="shared" si="0"/>
        <v>41753</v>
      </c>
      <c r="C30" s="59"/>
      <c r="D30" s="59"/>
      <c r="E30" s="59"/>
      <c r="F30" s="59"/>
      <c r="G30" s="216">
        <f>IF(AND(OR(WEEKDAY(B30,2)&gt;5,LEFT(A30,1)=" "),$C30=""),"",IF(E30&gt;0,(E30*60+F30)-(C30*60+D30)-H30+TRUNC(Info!$D$10*(I30/100)),IF(MID(C30,1,2)="Fl",0,Info!AE64))-Info!AE64)</f>
        <v>0</v>
      </c>
      <c r="H30" s="185">
        <f>IF(AND(Info!$C$46&gt;0,$E30&gt;$C30),Info!$C$46,)</f>
        <v>0</v>
      </c>
      <c r="I30" s="185"/>
      <c r="J30" s="175" t="str">
        <f>" "&amp;Info!AE30</f>
        <v xml:space="preserve"> </v>
      </c>
      <c r="K30" s="323"/>
      <c r="L30" s="324"/>
      <c r="M30" s="327"/>
      <c r="P30" s="243"/>
      <c r="Q30" s="243"/>
      <c r="R30" s="243"/>
      <c r="S30" s="243"/>
      <c r="T30" s="243"/>
      <c r="U30" s="243"/>
      <c r="V30" s="243"/>
      <c r="W30" s="243"/>
      <c r="X30" s="243"/>
      <c r="Y30" s="243"/>
      <c r="Z30" s="243"/>
    </row>
    <row r="31" spans="1:26" s="11" customFormat="1" x14ac:dyDescent="0.2">
      <c r="A31" s="157" t="str">
        <f>IF(AND(WEEKDAY($B31,2)&lt;&gt;3,VLOOKUP($B31,Info!$AO$7:$AO$17,1)=$B31)," ","")&amp;IF(WEEKDAY(B31,2)=1,INT((B31-(DATE(YEAR(B31+(MOD(8-WEEKDAY(B31),7)-3)),1,1))-3+
MOD(WEEKDAY(DATE(YEAR(B31+(MOD(8-WEEKDAY(B31),7)-3)),1,1))+1,7))/7)+1,"")</f>
        <v/>
      </c>
      <c r="B31" s="68">
        <f t="shared" si="0"/>
        <v>41754</v>
      </c>
      <c r="C31" s="59"/>
      <c r="D31" s="59"/>
      <c r="E31" s="59"/>
      <c r="F31" s="59"/>
      <c r="G31" s="216">
        <f>IF(AND(OR(WEEKDAY(B31,2)&gt;5,LEFT(A31,1)=" "),$C31=""),"",IF(E31&gt;0,(E31*60+F31)-(C31*60+D31)-H31+TRUNC(Info!$D$10*(I31/100)),IF(MID(C31,1,2)="Fl",0,Info!AE65))-Info!AE65)</f>
        <v>0</v>
      </c>
      <c r="H31" s="185">
        <f>IF(AND(Info!$C$46&gt;0,$E31&gt;$C31),Info!$C$46,)</f>
        <v>0</v>
      </c>
      <c r="I31" s="185"/>
      <c r="J31" s="175" t="str">
        <f>" "&amp;Info!AE31</f>
        <v xml:space="preserve"> </v>
      </c>
      <c r="K31" s="323"/>
      <c r="L31" s="324"/>
      <c r="M31" s="327"/>
      <c r="P31" s="243"/>
      <c r="Q31" s="243"/>
      <c r="R31" s="243"/>
      <c r="S31" s="243"/>
      <c r="T31" s="243"/>
      <c r="U31" s="243"/>
      <c r="V31" s="243"/>
      <c r="W31" s="243"/>
      <c r="X31" s="243"/>
      <c r="Y31" s="243"/>
      <c r="Z31" s="243"/>
    </row>
    <row r="32" spans="1:26" s="11" customFormat="1" x14ac:dyDescent="0.2">
      <c r="A32" s="157" t="str">
        <f>IF(AND(WEEKDAY($B32,2)&lt;&gt;3,VLOOKUP($B32,Info!$AO$7:$AO$17,1)=$B32)," ","")&amp;IF(WEEKDAY(B32,2)=1,INT((B32-(DATE(YEAR(B32+(MOD(8-WEEKDAY(B32),7)-3)),1,1))-3+
MOD(WEEKDAY(DATE(YEAR(B32+(MOD(8-WEEKDAY(B32),7)-3)),1,1))+1,7))/7)+1,"")</f>
        <v/>
      </c>
      <c r="B32" s="68">
        <f t="shared" si="0"/>
        <v>41755</v>
      </c>
      <c r="C32" s="59"/>
      <c r="D32" s="59"/>
      <c r="E32" s="59"/>
      <c r="F32" s="59"/>
      <c r="G32" s="216" t="str">
        <f>IF(AND(OR(WEEKDAY(B32,2)&gt;5,LEFT(A32,1)=" "),$C32=""),"",IF(E32&gt;0,(E32*60+F32)-(C32*60+D32)-H32+TRUNC(Info!$D$10*(I32/100)),IF(MID(C32,1,2)="Fl",0,Info!AE66))-Info!AE66)</f>
        <v/>
      </c>
      <c r="H32" s="185">
        <f>IF(AND(Info!$C$46&gt;0,$E32&gt;$C32),Info!$C$46,)</f>
        <v>0</v>
      </c>
      <c r="I32" s="185"/>
      <c r="J32" s="175" t="str">
        <f>" "&amp;Info!AE32</f>
        <v xml:space="preserve"> </v>
      </c>
      <c r="K32" s="323"/>
      <c r="L32" s="324"/>
      <c r="M32" s="327"/>
      <c r="P32" s="243"/>
      <c r="Q32" s="243"/>
      <c r="R32" s="243"/>
      <c r="S32" s="243"/>
      <c r="T32" s="243"/>
      <c r="U32" s="243"/>
      <c r="V32" s="243"/>
      <c r="W32" s="243"/>
      <c r="X32" s="243"/>
      <c r="Y32" s="243"/>
      <c r="Z32" s="243"/>
    </row>
    <row r="33" spans="1:26" s="11" customFormat="1" x14ac:dyDescent="0.2">
      <c r="A33" s="157" t="str">
        <f>IF(AND(WEEKDAY($B33,2)&lt;&gt;3,VLOOKUP($B33,Info!$AO$7:$AO$17,1)=$B33)," ","")&amp;IF(WEEKDAY(B33,2)=1,INT((B33-(DATE(YEAR(B33+(MOD(8-WEEKDAY(B33),7)-3)),1,1))-3+
MOD(WEEKDAY(DATE(YEAR(B33+(MOD(8-WEEKDAY(B33),7)-3)),1,1))+1,7))/7)+1,"")</f>
        <v/>
      </c>
      <c r="B33" s="68">
        <f t="shared" si="0"/>
        <v>41756</v>
      </c>
      <c r="C33" s="59"/>
      <c r="D33" s="59"/>
      <c r="E33" s="59"/>
      <c r="F33" s="59"/>
      <c r="G33" s="216" t="str">
        <f>IF(AND(OR(WEEKDAY(B33,2)&gt;5,LEFT(A33,1)=" "),$C33=""),"",IF(E33&gt;0,(E33*60+F33)-(C33*60+D33)-H33+TRUNC(Info!$D$10*(I33/100)),IF(MID(C33,1,2)="Fl",0,Info!AE67))-Info!AE67)</f>
        <v/>
      </c>
      <c r="H33" s="185">
        <f>IF(AND(Info!$C$46&gt;0,$E33&gt;$C33),Info!$C$46,)</f>
        <v>0</v>
      </c>
      <c r="I33" s="185"/>
      <c r="J33" s="175" t="str">
        <f>" "&amp;Info!AE33</f>
        <v xml:space="preserve"> </v>
      </c>
      <c r="K33" s="323"/>
      <c r="L33" s="324"/>
      <c r="M33" s="327"/>
      <c r="P33" s="243"/>
      <c r="Q33" s="243"/>
      <c r="R33" s="243"/>
      <c r="S33" s="243"/>
      <c r="T33" s="243"/>
      <c r="U33" s="243"/>
      <c r="V33" s="243"/>
      <c r="W33" s="243"/>
      <c r="X33" s="243"/>
      <c r="Y33" s="243"/>
      <c r="Z33" s="243"/>
    </row>
    <row r="34" spans="1:26" s="11" customFormat="1" x14ac:dyDescent="0.2">
      <c r="A34" s="157" t="str">
        <f>IF(AND(WEEKDAY($B34,2)&lt;&gt;3,VLOOKUP($B34,Info!$AO$7:$AO$17,1)=$B34)," ","")&amp;IF(WEEKDAY(B34,2)=1,INT((B34-(DATE(YEAR(B34+(MOD(8-WEEKDAY(B34),7)-3)),1,1))-3+
MOD(WEEKDAY(DATE(YEAR(B34+(MOD(8-WEEKDAY(B34),7)-3)),1,1))+1,7))/7)+1,"")</f>
        <v>18</v>
      </c>
      <c r="B34" s="68">
        <f t="shared" si="0"/>
        <v>41757</v>
      </c>
      <c r="C34" s="59"/>
      <c r="D34" s="59"/>
      <c r="E34" s="59"/>
      <c r="F34" s="59"/>
      <c r="G34" s="216">
        <f>IF(AND(OR(WEEKDAY(B34,2)&gt;5,LEFT(A34,1)=" "),$C34=""),"",IF(E34&gt;0,(E34*60+F34)-(C34*60+D34)-H34+TRUNC(Info!$D$10*(I34/100)),IF(MID(C34,1,2)="Fl",0,Info!AE68))-Info!AE68)</f>
        <v>0</v>
      </c>
      <c r="H34" s="185">
        <f>IF(AND(Info!$C$46&gt;0,$E34&gt;$C34),Info!$C$46,)</f>
        <v>0</v>
      </c>
      <c r="I34" s="185"/>
      <c r="J34" s="175" t="str">
        <f>" "&amp;Info!AE34</f>
        <v xml:space="preserve"> </v>
      </c>
      <c r="K34" s="323"/>
      <c r="L34" s="324"/>
      <c r="M34" s="327"/>
      <c r="P34" s="243"/>
      <c r="Q34" s="243"/>
      <c r="R34" s="243"/>
      <c r="S34" s="243"/>
      <c r="T34" s="243"/>
      <c r="U34" s="243"/>
      <c r="V34" s="243"/>
      <c r="W34" s="243"/>
      <c r="X34" s="243"/>
      <c r="Y34" s="243"/>
      <c r="Z34" s="243"/>
    </row>
    <row r="35" spans="1:26" s="11" customFormat="1" x14ac:dyDescent="0.2">
      <c r="A35" s="157" t="str">
        <f>IF(AND(WEEKDAY($B35,2)&lt;&gt;3,VLOOKUP($B35,Info!$AO$7:$AO$17,1)=$B35)," ","")&amp;IF(WEEKDAY(B35,2)=1,INT((B35-(DATE(YEAR(B35+(MOD(8-WEEKDAY(B35),7)-3)),1,1))-3+
MOD(WEEKDAY(DATE(YEAR(B35+(MOD(8-WEEKDAY(B35),7)-3)),1,1))+1,7))/7)+1,"")</f>
        <v/>
      </c>
      <c r="B35" s="68">
        <f t="shared" si="0"/>
        <v>41758</v>
      </c>
      <c r="C35" s="59"/>
      <c r="D35" s="59"/>
      <c r="E35" s="59"/>
      <c r="F35" s="59"/>
      <c r="G35" s="216">
        <f>IF(AND(OR(WEEKDAY(B35,2)&gt;5,LEFT(A35,1)=" "),$C35=""),"",IF(E35&gt;0,(E35*60+F35)-(C35*60+D35)-H35+TRUNC(Info!$D$10*(I35/100)),IF(MID(C35,1,2)="Fl",0,Info!AE69))-Info!AE69)</f>
        <v>0</v>
      </c>
      <c r="H35" s="185">
        <f>IF(AND(Info!$C$46&gt;0,$E35&gt;$C35),Info!$C$46,)</f>
        <v>0</v>
      </c>
      <c r="I35" s="185"/>
      <c r="J35" s="175" t="str">
        <f>" "&amp;Info!AE35</f>
        <v xml:space="preserve"> </v>
      </c>
      <c r="K35" s="323"/>
      <c r="L35" s="324"/>
      <c r="M35" s="327"/>
      <c r="P35" s="243"/>
      <c r="Q35" s="243"/>
      <c r="R35" s="243"/>
      <c r="S35" s="243"/>
      <c r="T35" s="243"/>
      <c r="U35" s="243"/>
      <c r="V35" s="243"/>
      <c r="W35" s="243"/>
      <c r="X35" s="243"/>
      <c r="Y35" s="243"/>
      <c r="Z35" s="243"/>
    </row>
    <row r="36" spans="1:26" s="11" customFormat="1" ht="13.5" thickBot="1" x14ac:dyDescent="0.25">
      <c r="A36" s="157" t="str">
        <f>IF(AND(WEEKDAY($B36,2)&lt;&gt;3,VLOOKUP($B36,Info!$AO$7:$AO$17,1)=$B36)," ","")&amp;IF(WEEKDAY(B36,2)=1,INT((B36-(DATE(YEAR(B36+(MOD(8-WEEKDAY(B36),7)-3)),1,1))-3+
MOD(WEEKDAY(DATE(YEAR(B36+(MOD(8-WEEKDAY(B36),7)-3)),1,1))+1,7))/7)+1,"")</f>
        <v/>
      </c>
      <c r="B36" s="69">
        <f>B35+1</f>
        <v>41759</v>
      </c>
      <c r="C36" s="60"/>
      <c r="D36" s="60"/>
      <c r="E36" s="60"/>
      <c r="F36" s="60"/>
      <c r="G36" s="217">
        <f>IF(AND(OR(WEEKDAY(B36,2)&gt;5,LEFT(A36,1)=" "),$C36=""),"",IF(E36&gt;0,(E36*60+F36)-(C36*60+D36)-H36+TRUNC(Info!$D$10*(I36/100)),IF(MID(C36,1,2)="Fl",0,Info!AE70))-Info!AE70)</f>
        <v>0</v>
      </c>
      <c r="H36" s="186">
        <f>IF(AND(Info!$C$46&gt;0,$E36&gt;$C36),Info!$C$46,)</f>
        <v>0</v>
      </c>
      <c r="I36" s="186"/>
      <c r="J36" s="176" t="str">
        <f>" "&amp;Info!AE36</f>
        <v xml:space="preserve"> </v>
      </c>
      <c r="K36" s="323"/>
      <c r="L36" s="324"/>
      <c r="M36" s="327"/>
      <c r="P36" s="243"/>
      <c r="Q36" s="243"/>
      <c r="R36" s="243"/>
      <c r="S36" s="243"/>
      <c r="T36" s="243"/>
      <c r="U36" s="243"/>
      <c r="V36" s="243"/>
      <c r="W36" s="243"/>
      <c r="X36" s="243"/>
      <c r="Y36" s="243"/>
      <c r="Z36" s="243"/>
    </row>
    <row r="37" spans="1:26" x14ac:dyDescent="0.2">
      <c r="G37" s="45"/>
      <c r="H37" s="12"/>
      <c r="I37" s="12"/>
      <c r="K37" s="313">
        <f>SUM(K7:K36)</f>
        <v>0</v>
      </c>
      <c r="L37" s="313">
        <f>SUM(L6:L36)</f>
        <v>0</v>
      </c>
      <c r="M37" s="327"/>
      <c r="N37" s="337">
        <f>SUM(Mar!$K$27:'Mar'!$K37)+SUM($K$7:$K$26)</f>
        <v>0</v>
      </c>
    </row>
    <row r="38" spans="1:26" x14ac:dyDescent="0.2">
      <c r="K38" s="342" t="str">
        <f>ROUNDDOWN(K37/60,1)&amp;" t"</f>
        <v>0 t</v>
      </c>
      <c r="L38" s="96" t="s">
        <v>217</v>
      </c>
      <c r="M38" s="327"/>
      <c r="N38" s="330" t="str">
        <f>ROUNDDOWN(N37/60,1)&amp;" t  i perioden 21."&amp;TEXT(B7-1,"m")&amp;"-20."&amp;TEXT(B7,"m")</f>
        <v>0 t  i perioden 21.3-20.4</v>
      </c>
    </row>
    <row r="39" spans="1:26" x14ac:dyDescent="0.2">
      <c r="B39" s="454" t="s">
        <v>141</v>
      </c>
      <c r="C39" s="455"/>
      <c r="D39" s="455"/>
      <c r="E39" s="456"/>
      <c r="F39" s="208" t="s">
        <v>48</v>
      </c>
      <c r="G39" s="209" t="s">
        <v>49</v>
      </c>
      <c r="H39" s="482" t="s">
        <v>50</v>
      </c>
      <c r="I39" s="460"/>
      <c r="J39" s="14" t="s">
        <v>19</v>
      </c>
      <c r="K39" s="92"/>
      <c r="L39" s="92"/>
    </row>
    <row r="40" spans="1:26" x14ac:dyDescent="0.2">
      <c r="B40" s="191" t="str">
        <f>J$2&amp;":"</f>
        <v>April:</v>
      </c>
      <c r="C40" s="1"/>
      <c r="D40" s="1"/>
      <c r="E40" s="40">
        <f>SUM(G$7:G$37)</f>
        <v>0</v>
      </c>
      <c r="F40" s="38">
        <f>TRUNC(E40/60,)</f>
        <v>0</v>
      </c>
      <c r="G40" s="50">
        <f>((E40/60)-F40)*60</f>
        <v>0</v>
      </c>
      <c r="H40" s="471"/>
      <c r="I40" s="472"/>
      <c r="J40" s="15" t="s">
        <v>145</v>
      </c>
      <c r="K40" s="92"/>
      <c r="L40" s="92"/>
    </row>
    <row r="41" spans="1:26" x14ac:dyDescent="0.2">
      <c r="B41" s="192" t="str">
        <f>"Fra "&amp;TEXT(($B$7-1),"mmmm")&amp;":"</f>
        <v>Fra mars:</v>
      </c>
      <c r="C41" s="1"/>
      <c r="D41" s="1"/>
      <c r="E41" s="40">
        <f>Mar!$E$43</f>
        <v>0</v>
      </c>
      <c r="F41" s="39">
        <f>TRUNC(E41/60,)</f>
        <v>0</v>
      </c>
      <c r="G41" s="51">
        <f>((E41/60)-F41)*60</f>
        <v>0</v>
      </c>
      <c r="H41" s="473"/>
      <c r="I41" s="474"/>
      <c r="J41" s="15" t="s">
        <v>146</v>
      </c>
      <c r="K41" s="92"/>
      <c r="L41" s="92"/>
    </row>
    <row r="42" spans="1:26" x14ac:dyDescent="0.2">
      <c r="B42" s="210" t="s">
        <v>142</v>
      </c>
      <c r="C42" s="1"/>
      <c r="D42" s="1"/>
      <c r="E42" s="193">
        <f>E40+E41</f>
        <v>0</v>
      </c>
      <c r="F42" s="80">
        <f>TRUNC(E42/60,)</f>
        <v>0</v>
      </c>
      <c r="G42" s="81">
        <f>((E42/60)-F42)*60</f>
        <v>0</v>
      </c>
      <c r="H42" s="457">
        <f>E42/Info!$D$10</f>
        <v>0</v>
      </c>
      <c r="I42" s="451"/>
      <c r="J42" s="213" t="s">
        <v>147</v>
      </c>
      <c r="K42" s="92"/>
      <c r="L42" s="92"/>
    </row>
    <row r="43" spans="1:26" x14ac:dyDescent="0.2">
      <c r="B43" s="454" t="s">
        <v>133</v>
      </c>
      <c r="C43" s="455"/>
      <c r="D43" s="455"/>
      <c r="E43" s="456"/>
      <c r="F43" s="1"/>
      <c r="G43" s="46"/>
      <c r="H43" s="461">
        <f>IF(Info!$C$47="Ja",E42/Info!$D$11,)</f>
        <v>0</v>
      </c>
      <c r="I43" s="461"/>
      <c r="J43" s="17" t="s">
        <v>40</v>
      </c>
      <c r="K43" s="92"/>
      <c r="L43" s="92"/>
    </row>
    <row r="44" spans="1:26" x14ac:dyDescent="0.2">
      <c r="B44" s="191" t="str">
        <f>J$2&amp;":"</f>
        <v>April:</v>
      </c>
      <c r="C44" s="194"/>
      <c r="D44" s="195"/>
      <c r="E44" s="196">
        <f>COUNTIF(C$7:C$37,"Fe*")</f>
        <v>0</v>
      </c>
      <c r="G44" s="47"/>
      <c r="H44" s="18"/>
      <c r="I44" s="18"/>
      <c r="J44" s="25"/>
      <c r="K44" s="92"/>
      <c r="L44" s="92"/>
    </row>
    <row r="45" spans="1:26" x14ac:dyDescent="0.2">
      <c r="B45" s="192" t="s">
        <v>143</v>
      </c>
      <c r="C45" s="7"/>
      <c r="D45" s="7"/>
      <c r="E45" s="197">
        <f>Mar!$E$47</f>
        <v>0</v>
      </c>
      <c r="F45" s="10"/>
      <c r="G45" s="48"/>
      <c r="H45" s="19"/>
      <c r="I45" s="19"/>
      <c r="J45" s="26"/>
      <c r="K45" s="92"/>
      <c r="L45" s="92"/>
    </row>
    <row r="46" spans="1:26" x14ac:dyDescent="0.2">
      <c r="B46" s="211" t="s">
        <v>44</v>
      </c>
      <c r="C46" s="198"/>
      <c r="D46" s="198"/>
      <c r="E46" s="199">
        <f>E45-E44</f>
        <v>0</v>
      </c>
      <c r="F46" s="2"/>
      <c r="G46" s="48"/>
      <c r="H46" s="19"/>
      <c r="I46" s="19"/>
      <c r="J46" s="26"/>
      <c r="K46" s="92"/>
      <c r="L46" s="92"/>
    </row>
    <row r="47" spans="1:26" x14ac:dyDescent="0.2">
      <c r="B47" s="454" t="s">
        <v>140</v>
      </c>
      <c r="C47" s="455"/>
      <c r="D47" s="455"/>
      <c r="E47" s="456"/>
      <c r="F47" s="454" t="s">
        <v>87</v>
      </c>
      <c r="G47" s="458"/>
      <c r="H47" s="459"/>
      <c r="I47" s="460"/>
      <c r="K47" s="92"/>
      <c r="L47" s="92"/>
    </row>
    <row r="48" spans="1:26" x14ac:dyDescent="0.2">
      <c r="B48" s="191" t="str">
        <f>J$2&amp;":"</f>
        <v>April:</v>
      </c>
      <c r="C48" s="195"/>
      <c r="D48" s="195"/>
      <c r="E48" s="200">
        <f>COUNTIF(C$7:C$37,"S*")</f>
        <v>0</v>
      </c>
      <c r="F48" s="464" t="str">
        <f>IF(E48&gt;0,"- av disse","")</f>
        <v/>
      </c>
      <c r="G48" s="465"/>
      <c r="H48" s="481" t="str">
        <f>IF(E48&gt;0,E48-COUNTIF(C$7:C$37,"s*m*"),"")</f>
        <v/>
      </c>
      <c r="I48" s="480"/>
      <c r="K48" s="92"/>
      <c r="L48" s="92"/>
    </row>
    <row r="49" spans="2:12" x14ac:dyDescent="0.2">
      <c r="B49" s="211" t="str">
        <f>J$1&amp;":"</f>
        <v>2014:</v>
      </c>
      <c r="C49" s="198"/>
      <c r="D49" s="198"/>
      <c r="E49" s="201">
        <f>Mar!$E$50+E48</f>
        <v>0</v>
      </c>
      <c r="F49" s="452" t="s">
        <v>148</v>
      </c>
      <c r="G49" s="453"/>
      <c r="H49" s="450">
        <f>SUM(Info!$I$8:'Info'!$I$15)+SUM(Info!$J$4:'Info'!$J$6)+E48-COUNTIF(C$7:C$37,"s*m*")</f>
        <v>0</v>
      </c>
      <c r="I49" s="451"/>
      <c r="K49" s="92"/>
      <c r="L49" s="92"/>
    </row>
    <row r="50" spans="2:12" x14ac:dyDescent="0.2">
      <c r="B50" s="454" t="s">
        <v>144</v>
      </c>
      <c r="C50" s="455"/>
      <c r="D50" s="455"/>
      <c r="E50" s="456"/>
      <c r="K50" s="92"/>
      <c r="L50" s="92"/>
    </row>
    <row r="51" spans="2:12" x14ac:dyDescent="0.2">
      <c r="B51" s="202" t="str">
        <f>"Sykt barn/-passer i "&amp;LOWER(J$2)&amp;":"</f>
        <v>Sykt barn/-passer i april:</v>
      </c>
      <c r="C51" s="28"/>
      <c r="D51" s="203"/>
      <c r="E51" s="204">
        <f>COUNTIF(C$7:C$37,"P*b*")</f>
        <v>0</v>
      </c>
      <c r="F51" s="1"/>
      <c r="G51" s="49"/>
      <c r="H51" s="19"/>
      <c r="I51" s="19"/>
      <c r="K51" s="92"/>
      <c r="L51" s="92"/>
    </row>
    <row r="52" spans="2:12" x14ac:dyDescent="0.2">
      <c r="B52" s="205" t="str">
        <f>"Velferdspermisjon i "&amp;LOWER(J$2)&amp;":"</f>
        <v>Velferdspermisjon i april:</v>
      </c>
      <c r="C52" s="1"/>
      <c r="D52" s="1"/>
      <c r="E52" s="206">
        <f>COUNTIF(C$7:C$37,"P*v*")</f>
        <v>0</v>
      </c>
      <c r="K52" s="92"/>
      <c r="L52" s="92"/>
    </row>
    <row r="53" spans="2:12" x14ac:dyDescent="0.2">
      <c r="B53" s="205" t="str">
        <f>"Annen permisjon i "&amp;LOWER(J$2)&amp;":"</f>
        <v>Annen permisjon i april:</v>
      </c>
      <c r="C53" s="1"/>
      <c r="D53" s="1"/>
      <c r="E53" s="206">
        <f>COUNTIF(C$7:C$37,"P*a*")</f>
        <v>0</v>
      </c>
      <c r="J53" s="429"/>
      <c r="K53" s="92"/>
      <c r="L53" s="92"/>
    </row>
    <row r="54" spans="2:12" x14ac:dyDescent="0.2">
      <c r="B54" s="212" t="str">
        <f>J$1&amp;":"</f>
        <v>2014:</v>
      </c>
      <c r="C54" s="31"/>
      <c r="D54" s="31"/>
      <c r="E54" s="207">
        <f>Mar!$E$54+SUM(E51:E53)</f>
        <v>0</v>
      </c>
      <c r="J54" s="314" t="s">
        <v>233</v>
      </c>
      <c r="K54" s="92"/>
      <c r="L54" s="92"/>
    </row>
    <row r="55" spans="2:12" x14ac:dyDescent="0.2">
      <c r="K55" s="92"/>
      <c r="L55" s="92"/>
    </row>
  </sheetData>
  <sheetProtection selectLockedCells="1"/>
  <mergeCells count="16">
    <mergeCell ref="K5:L5"/>
    <mergeCell ref="B50:E50"/>
    <mergeCell ref="H5:I5"/>
    <mergeCell ref="H39:I39"/>
    <mergeCell ref="H40:I40"/>
    <mergeCell ref="H41:I41"/>
    <mergeCell ref="H42:I42"/>
    <mergeCell ref="H43:I43"/>
    <mergeCell ref="F47:I47"/>
    <mergeCell ref="H48:I48"/>
    <mergeCell ref="H49:I49"/>
    <mergeCell ref="F48:G48"/>
    <mergeCell ref="F49:G49"/>
    <mergeCell ref="B39:E39"/>
    <mergeCell ref="B43:E43"/>
    <mergeCell ref="B47:E47"/>
  </mergeCells>
  <phoneticPr fontId="0" type="noConversion"/>
  <conditionalFormatting sqref="C7:F36 H7:I36">
    <cfRule type="expression" dxfId="221" priority="1" stopIfTrue="1">
      <formula>$B7=TODAY()</formula>
    </cfRule>
    <cfRule type="expression" dxfId="220" priority="2" stopIfTrue="1">
      <formula>OR(WEEKDAY($B7,2)&gt;5,LEFT($A7,1)=" ")</formula>
    </cfRule>
  </conditionalFormatting>
  <conditionalFormatting sqref="J7:L36">
    <cfRule type="expression" dxfId="219" priority="3" stopIfTrue="1">
      <formula>$B7=TODAY()</formula>
    </cfRule>
    <cfRule type="expression" dxfId="218" priority="4" stopIfTrue="1">
      <formula>OR(WEEKDAY($B7,2)&gt;5,LEFT($A7,1)=" ")</formula>
    </cfRule>
  </conditionalFormatting>
  <conditionalFormatting sqref="B7:B36">
    <cfRule type="expression" dxfId="217" priority="5" stopIfTrue="1">
      <formula>AND(B7=TODAY(),OR(WEEKDAY(B7,2)&gt;5,LEFT($A7,1)=" "))</formula>
    </cfRule>
    <cfRule type="expression" dxfId="216" priority="6" stopIfTrue="1">
      <formula>B7=TODAY()</formula>
    </cfRule>
    <cfRule type="expression" dxfId="215" priority="7" stopIfTrue="1">
      <formula>OR(WEEKDAY($B7,2)&gt;5,LEFT($A7,1)=" ")</formula>
    </cfRule>
  </conditionalFormatting>
  <conditionalFormatting sqref="A7">
    <cfRule type="expression" dxfId="214" priority="8" stopIfTrue="1">
      <formula>AND((TODAY()-WEEKDAY(TODAY(),2)+7)&gt;=B7,(TODAY()-WEEKDAY(TODAY(),2)&lt;B7))</formula>
    </cfRule>
  </conditionalFormatting>
  <conditionalFormatting sqref="A8:A36">
    <cfRule type="expression" dxfId="213" priority="9" stopIfTrue="1">
      <formula>(TODAY()-WEEKDAY(TODAY(),2)+1)=B8</formula>
    </cfRule>
  </conditionalFormatting>
  <conditionalFormatting sqref="G7:G36">
    <cfRule type="expression" dxfId="212" priority="10" stopIfTrue="1">
      <formula>OR(WEEKDAY($B7,2)&gt;5,LEFT($A7,1)=" ")</formula>
    </cfRule>
  </conditionalFormatting>
  <conditionalFormatting sqref="G6">
    <cfRule type="expression" dxfId="211" priority="11" stopIfTrue="1">
      <formula>AND(H42&gt;-0.99,H42&lt;-0.01)</formula>
    </cfRule>
    <cfRule type="expression" dxfId="210" priority="12" stopIfTrue="1">
      <formula>H42&lt;=-2</formula>
    </cfRule>
    <cfRule type="expression" dxfId="209" priority="13" stopIfTrue="1">
      <formula>AND(H42&gt;-1.99,H42&lt;-1)</formula>
    </cfRule>
  </conditionalFormatting>
  <conditionalFormatting sqref="N2:N6">
    <cfRule type="expression" dxfId="208" priority="31" stopIfTrue="1">
      <formula>MONTH($B$7)=MONTH(TODAY())</formula>
    </cfRule>
  </conditionalFormatting>
  <conditionalFormatting sqref="H49">
    <cfRule type="cellIs" dxfId="207" priority="14" stopIfTrue="1" operator="greaterThan">
      <formula>22</formula>
    </cfRule>
  </conditionalFormatting>
  <conditionalFormatting sqref="H42">
    <cfRule type="cellIs" dxfId="206" priority="15" stopIfTrue="1" operator="between">
      <formula>-0.4</formula>
      <formula>-0.9999999</formula>
    </cfRule>
    <cfRule type="cellIs" dxfId="205" priority="16" stopIfTrue="1" operator="lessThanOrEqual">
      <formula>-2</formula>
    </cfRule>
    <cfRule type="cellIs" dxfId="204" priority="17" stopIfTrue="1" operator="between">
      <formula>-1</formula>
      <formula>-1.99999999</formula>
    </cfRule>
  </conditionalFormatting>
  <conditionalFormatting sqref="K38">
    <cfRule type="expression" dxfId="203" priority="36" stopIfTrue="1">
      <formula>K37&lt;=0</formula>
    </cfRule>
  </conditionalFormatting>
  <conditionalFormatting sqref="L38">
    <cfRule type="expression" dxfId="202" priority="37" stopIfTrue="1">
      <formula>OR(K37&lt;=0,N37&lt;=0)</formula>
    </cfRule>
  </conditionalFormatting>
  <conditionalFormatting sqref="N38">
    <cfRule type="expression" dxfId="201" priority="38" stopIfTrue="1">
      <formula>N37&lt;=0</formula>
    </cfRule>
  </conditionalFormatting>
  <conditionalFormatting sqref="K37:L37">
    <cfRule type="cellIs" dxfId="200" priority="39" stopIfTrue="1" operator="lessThanOrEqual">
      <formula>0</formula>
    </cfRule>
  </conditionalFormatting>
  <pageMargins left="0.78740157480314965" right="0.19685039370078741" top="0.78740157480314965" bottom="0.98425196850393704" header="0.51181102362204722" footer="0.51181102362204722"/>
  <pageSetup paperSize="9" orientation="portrait" r:id="rId1"/>
  <headerFooter alignWithMargins="0">
    <oddFooter>&amp;R&amp;7ghe&amp;G 2011</oddFooter>
  </headerFooter>
  <ignoredErrors>
    <ignoredError sqref="J8:J28 J29:J36 H8:H36 J7 H7" unlockedFormula="1"/>
  </ignoredErrors>
  <drawing r:id="rId2"/>
  <legacyDrawing r:id="rId3"/>
  <legacyDrawingHF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7" enableFormatConditionsCalculation="0">
    <tabColor indexed="50"/>
  </sheetPr>
  <dimension ref="A1:Z55"/>
  <sheetViews>
    <sheetView showGridLines="0" workbookViewId="0">
      <pane ySplit="6" topLeftCell="A7" activePane="bottomLeft" state="frozenSplit"/>
      <selection pane="bottomLeft" activeCell="C7" sqref="C7"/>
    </sheetView>
  </sheetViews>
  <sheetFormatPr baseColWidth="10" defaultColWidth="9.140625" defaultRowHeight="12.75" x14ac:dyDescent="0.2"/>
  <cols>
    <col min="1" max="1" width="2.5703125" style="149" customWidth="1"/>
    <col min="2" max="2" width="7.5703125" customWidth="1"/>
    <col min="3" max="5" width="9.140625" customWidth="1"/>
    <col min="6" max="6" width="8.5703125" customWidth="1"/>
    <col min="7" max="7" width="7.140625" style="41" customWidth="1"/>
    <col min="8" max="8" width="5" style="8" customWidth="1"/>
    <col min="9" max="9" width="3.42578125" style="8" customWidth="1"/>
    <col min="10" max="10" width="31.42578125" style="10" customWidth="1"/>
    <col min="11" max="12" width="4.7109375" customWidth="1"/>
    <col min="13" max="13" width="1.85546875" style="92" customWidth="1"/>
    <col min="14" max="14" width="20.28515625" customWidth="1"/>
    <col min="15" max="15" width="2.140625" customWidth="1"/>
    <col min="16" max="16" width="9.140625" style="244" customWidth="1"/>
    <col min="17" max="26" width="9.140625" style="244"/>
  </cols>
  <sheetData>
    <row r="1" spans="1:26" s="92" customFormat="1" x14ac:dyDescent="0.2">
      <c r="A1" s="133"/>
      <c r="G1" s="347"/>
      <c r="H1" s="348"/>
      <c r="I1" s="348"/>
      <c r="J1" s="349">
        <f>Info!$E$1</f>
        <v>2014</v>
      </c>
    </row>
    <row r="2" spans="1:26" s="92" customFormat="1" ht="23.25" x14ac:dyDescent="0.35">
      <c r="A2" s="350"/>
      <c r="B2" s="398"/>
      <c r="C2" s="398"/>
      <c r="D2" s="393"/>
      <c r="E2" s="393"/>
      <c r="F2" s="394" t="str">
        <f>Info!C41</f>
        <v>Fleksitid</v>
      </c>
      <c r="G2" s="399"/>
      <c r="H2" s="400"/>
      <c r="I2" s="400"/>
      <c r="J2" s="397" t="s">
        <v>14</v>
      </c>
      <c r="N2" s="325"/>
    </row>
    <row r="3" spans="1:26" s="92" customFormat="1" ht="17.25" customHeight="1" x14ac:dyDescent="0.2">
      <c r="A3" s="133"/>
      <c r="B3" s="356"/>
      <c r="C3" s="357"/>
      <c r="D3" s="358"/>
      <c r="E3" s="359"/>
      <c r="F3" s="360">
        <f>Info!$C$5</f>
        <v>0</v>
      </c>
      <c r="G3" s="361"/>
      <c r="H3" s="362"/>
      <c r="I3" s="362"/>
      <c r="J3" s="314"/>
      <c r="N3" s="325"/>
    </row>
    <row r="4" spans="1:26" s="92" customFormat="1" ht="15" customHeight="1" thickBot="1" x14ac:dyDescent="0.25">
      <c r="A4" s="133"/>
      <c r="B4" s="363"/>
      <c r="C4" s="364"/>
      <c r="D4" s="365"/>
      <c r="E4" s="366"/>
      <c r="F4" s="367">
        <f>Info!$C$6</f>
        <v>0</v>
      </c>
      <c r="G4" s="368"/>
      <c r="H4" s="366"/>
      <c r="I4" s="366"/>
      <c r="J4" s="226"/>
      <c r="N4" s="325"/>
    </row>
    <row r="5" spans="1:26" x14ac:dyDescent="0.2">
      <c r="B5" s="3"/>
      <c r="C5" s="4" t="s">
        <v>0</v>
      </c>
      <c r="D5" s="4"/>
      <c r="E5" s="4" t="s">
        <v>1</v>
      </c>
      <c r="F5" s="4"/>
      <c r="G5" s="42"/>
      <c r="H5" s="468" t="s">
        <v>208</v>
      </c>
      <c r="I5" s="469"/>
      <c r="J5" s="9" t="s">
        <v>6</v>
      </c>
      <c r="K5" s="462" t="s">
        <v>216</v>
      </c>
      <c r="L5" s="463"/>
      <c r="M5" s="326"/>
      <c r="N5" s="11"/>
    </row>
    <row r="6" spans="1:26" ht="13.5" thickBot="1" x14ac:dyDescent="0.25">
      <c r="B6" s="5" t="s">
        <v>2</v>
      </c>
      <c r="C6" s="6" t="s">
        <v>3</v>
      </c>
      <c r="D6" s="6" t="s">
        <v>4</v>
      </c>
      <c r="E6" s="6" t="s">
        <v>3</v>
      </c>
      <c r="F6" s="6" t="s">
        <v>4</v>
      </c>
      <c r="G6" s="188" t="s">
        <v>139</v>
      </c>
      <c r="H6" s="6" t="s">
        <v>4</v>
      </c>
      <c r="I6" s="308" t="s">
        <v>207</v>
      </c>
      <c r="J6" s="172" t="str">
        <f>"Fleksi"&amp;IF(E43&lt;Info!D10,"tid: "&amp;IF(E43&lt;0,"-","")&amp;ABS(F43)&amp;":"&amp;ABS(ROUND(G43,)),"dager: "&amp;ROUND(H$43,1)&amp;IF(Info!C47="Ja"," ("&amp;ROUND(H$44,1)&amp;")",""))&amp;"   Ferie: "&amp;E$47</f>
        <v>Fleksitid: 0:0   Ferie: 0</v>
      </c>
      <c r="K6" s="320" t="s">
        <v>4</v>
      </c>
      <c r="L6" s="322" t="s">
        <v>215</v>
      </c>
      <c r="M6" s="133"/>
      <c r="N6" s="11"/>
    </row>
    <row r="7" spans="1:26" s="11" customFormat="1" x14ac:dyDescent="0.2">
      <c r="A7" s="157" t="str">
        <f>IF(AND(WEEKDAY($B7,2)&lt;&gt;3,VLOOKUP($B7,Info!$AO$7:$AO$17,1)=$B7)," ","")&amp;IF(WEEKDAY(B7,2)&lt;6,INT((B7-(DATE(YEAR(B7+(MOD(8-WEEKDAY(B7),7)-3)),1,1))-3+
MOD(WEEKDAY(DATE(YEAR(B7+(MOD(8-WEEKDAY(B7),7)-3)),1,1))+1,7))/7)+1,"")</f>
        <v>18</v>
      </c>
      <c r="B7" s="75">
        <f>DATE(Info!$E$1,5,1)</f>
        <v>41760</v>
      </c>
      <c r="C7" s="58"/>
      <c r="D7" s="58"/>
      <c r="E7" s="58"/>
      <c r="F7" s="58"/>
      <c r="G7" s="284" t="str">
        <f>IF($C7="","",IF(E7&gt;0,(E7*60+F7)-(C7*60+D7)-H7+TRUNC(Info!$D$10*(I7/100)),IF(MID(C7,1,2)="Fl",0,Info!AF41))-Info!AF41)</f>
        <v/>
      </c>
      <c r="H7" s="187">
        <f>IF(AND(Info!$C$46&gt;0,$E7&gt;$C7),Info!$C$46,)</f>
        <v>0</v>
      </c>
      <c r="I7" s="187"/>
      <c r="J7" s="177" t="str">
        <f>" "&amp;Info!AF7</f>
        <v xml:space="preserve"> Arbeidernes dag</v>
      </c>
      <c r="K7" s="344"/>
      <c r="L7" s="341"/>
      <c r="M7" s="327"/>
      <c r="P7" s="243"/>
      <c r="Q7" s="243"/>
      <c r="R7" s="243"/>
      <c r="S7" s="243"/>
      <c r="T7" s="243"/>
      <c r="U7" s="243"/>
      <c r="V7" s="243"/>
      <c r="W7" s="243"/>
      <c r="X7" s="243"/>
      <c r="Y7" s="243"/>
      <c r="Z7" s="243"/>
    </row>
    <row r="8" spans="1:26" s="11" customFormat="1" x14ac:dyDescent="0.2">
      <c r="A8" s="157" t="str">
        <f>IF(AND(WEEKDAY($B8,2)&lt;&gt;3,VLOOKUP($B8,Info!$AO$7:$AO$17,1)=$B8)," ","")&amp;IF(WEEKDAY(B8,2)=1,INT((B8-(DATE(YEAR(B8+(MOD(8-WEEKDAY(B8),7)-3)),1,1))-3+
MOD(WEEKDAY(DATE(YEAR(B8+(MOD(8-WEEKDAY(B8),7)-3)),1,1))+1,7))/7)+1,"")</f>
        <v/>
      </c>
      <c r="B8" s="68">
        <f t="shared" ref="B8:B37" si="0">B7+1</f>
        <v>41761</v>
      </c>
      <c r="C8" s="59"/>
      <c r="D8" s="59"/>
      <c r="E8" s="59"/>
      <c r="F8" s="59"/>
      <c r="G8" s="216">
        <f>IF(AND(OR(WEEKDAY(B8,2)&gt;5,LEFT(A8,1)=" "),$C8=""),"",IF(E8&gt;0,(E8*60+F8)-(C8*60+D8)-H8+TRUNC(Info!$D$10*(I8/100)),IF(MID(C8,1,2)="Fl",0,Info!AF42))-Info!AF42)</f>
        <v>0</v>
      </c>
      <c r="H8" s="185">
        <f>IF(AND(Info!$C$46&gt;0,$E8&gt;$C8),Info!$C$46,)</f>
        <v>0</v>
      </c>
      <c r="I8" s="185"/>
      <c r="J8" s="175" t="str">
        <f>" "&amp;Info!AF8</f>
        <v xml:space="preserve"> </v>
      </c>
      <c r="K8" s="323"/>
      <c r="L8" s="338"/>
      <c r="M8" s="327"/>
      <c r="P8" s="243"/>
      <c r="Q8" s="243"/>
      <c r="R8" s="243"/>
      <c r="S8" s="243"/>
      <c r="T8" s="243"/>
      <c r="U8" s="243"/>
      <c r="V8" s="243"/>
      <c r="W8" s="243"/>
      <c r="X8" s="243"/>
      <c r="Y8" s="243"/>
      <c r="Z8" s="243"/>
    </row>
    <row r="9" spans="1:26" s="11" customFormat="1" x14ac:dyDescent="0.2">
      <c r="A9" s="157" t="str">
        <f>IF(AND(WEEKDAY($B9,2)&lt;&gt;3,VLOOKUP($B9,Info!$AO$7:$AO$17,1)=$B9)," ","")&amp;IF(WEEKDAY(B9,2)=1,INT((B9-(DATE(YEAR(B9+(MOD(8-WEEKDAY(B9),7)-3)),1,1))-3+
MOD(WEEKDAY(DATE(YEAR(B9+(MOD(8-WEEKDAY(B9),7)-3)),1,1))+1,7))/7)+1,"")</f>
        <v/>
      </c>
      <c r="B9" s="68">
        <f t="shared" si="0"/>
        <v>41762</v>
      </c>
      <c r="C9" s="59"/>
      <c r="D9" s="59"/>
      <c r="E9" s="59"/>
      <c r="F9" s="59"/>
      <c r="G9" s="216" t="str">
        <f>IF(AND(OR(WEEKDAY(B9,2)&gt;5,LEFT(A9,1)=" "),$C9=""),"",IF(E9&gt;0,(E9*60+F9)-(C9*60+D9)-H9+TRUNC(Info!$D$10*(I9/100)),IF(MID(C9,1,2)="Fl",0,Info!AF43))-Info!AF43)</f>
        <v/>
      </c>
      <c r="H9" s="185">
        <f>IF(AND(Info!$C$46&gt;0,$E9&gt;$C9),Info!$C$46,)</f>
        <v>0</v>
      </c>
      <c r="I9" s="185"/>
      <c r="J9" s="175" t="str">
        <f>" "&amp;Info!AF9</f>
        <v xml:space="preserve"> </v>
      </c>
      <c r="K9" s="323"/>
      <c r="L9" s="338"/>
      <c r="M9" s="327"/>
      <c r="P9" s="243"/>
      <c r="Q9" s="243"/>
      <c r="R9" s="243"/>
      <c r="S9" s="243"/>
      <c r="T9" s="243"/>
      <c r="U9" s="243"/>
      <c r="V9" s="243"/>
      <c r="W9" s="243"/>
      <c r="X9" s="243"/>
      <c r="Y9" s="243"/>
      <c r="Z9" s="243"/>
    </row>
    <row r="10" spans="1:26" s="11" customFormat="1" x14ac:dyDescent="0.2">
      <c r="A10" s="157" t="str">
        <f>IF(AND(WEEKDAY($B10,2)&lt;&gt;3,VLOOKUP($B10,Info!$AO$7:$AO$17,1)=$B10)," ","")&amp;IF(WEEKDAY(B10,2)=1,INT((B10-(DATE(YEAR(B10+(MOD(8-WEEKDAY(B10),7)-3)),1,1))-3+
MOD(WEEKDAY(DATE(YEAR(B10+(MOD(8-WEEKDAY(B10),7)-3)),1,1))+1,7))/7)+1,"")</f>
        <v/>
      </c>
      <c r="B10" s="68">
        <f t="shared" si="0"/>
        <v>41763</v>
      </c>
      <c r="C10" s="59"/>
      <c r="D10" s="59"/>
      <c r="E10" s="59"/>
      <c r="F10" s="59"/>
      <c r="G10" s="216" t="str">
        <f>IF(AND(OR(WEEKDAY(B10,2)&gt;5,LEFT(A10,1)=" "),$C10=""),"",IF(E10&gt;0,(E10*60+F10)-(C10*60+D10)-H10+TRUNC(Info!$D$10*(I10/100)),IF(MID(C10,1,2)="Fl",0,Info!AF44))-Info!AF44)</f>
        <v/>
      </c>
      <c r="H10" s="185">
        <f>IF(AND(Info!$C$46&gt;0,$E10&gt;$C10),Info!$C$46,)</f>
        <v>0</v>
      </c>
      <c r="I10" s="185"/>
      <c r="J10" s="175" t="str">
        <f>" "&amp;Info!AF10</f>
        <v xml:space="preserve"> </v>
      </c>
      <c r="K10" s="323"/>
      <c r="L10" s="338"/>
      <c r="M10" s="327"/>
      <c r="P10" s="243"/>
      <c r="Q10" s="243"/>
      <c r="R10" s="243"/>
      <c r="S10" s="243"/>
      <c r="T10" s="243"/>
      <c r="U10" s="243"/>
      <c r="V10" s="243"/>
      <c r="W10" s="243"/>
      <c r="X10" s="243"/>
      <c r="Y10" s="243"/>
      <c r="Z10" s="243"/>
    </row>
    <row r="11" spans="1:26" s="11" customFormat="1" x14ac:dyDescent="0.2">
      <c r="A11" s="157" t="str">
        <f>IF(AND(WEEKDAY($B11,2)&lt;&gt;3,VLOOKUP($B11,Info!$AO$7:$AO$17,1)=$B11)," ","")&amp;IF(WEEKDAY(B11,2)=1,INT((B11-(DATE(YEAR(B11+(MOD(8-WEEKDAY(B11),7)-3)),1,1))-3+
MOD(WEEKDAY(DATE(YEAR(B11+(MOD(8-WEEKDAY(B11),7)-3)),1,1))+1,7))/7)+1,"")</f>
        <v>19</v>
      </c>
      <c r="B11" s="68">
        <f t="shared" si="0"/>
        <v>41764</v>
      </c>
      <c r="C11" s="59"/>
      <c r="D11" s="59"/>
      <c r="E11" s="59"/>
      <c r="F11" s="59"/>
      <c r="G11" s="216">
        <f>IF(AND(OR(WEEKDAY(B11,2)&gt;5,LEFT(A11,1)=" "),$C11=""),"",IF(E11&gt;0,(E11*60+F11)-(C11*60+D11)-H11+TRUNC(Info!$D$10*(I11/100)),IF(MID(C11,1,2)="Fl",0,Info!AF45))-Info!AF45)</f>
        <v>0</v>
      </c>
      <c r="H11" s="185">
        <f>IF(AND(Info!$C$46&gt;0,$E11&gt;$C11),Info!$C$46,)</f>
        <v>0</v>
      </c>
      <c r="I11" s="185"/>
      <c r="J11" s="175" t="str">
        <f>" "&amp;Info!AF11</f>
        <v xml:space="preserve"> </v>
      </c>
      <c r="K11" s="323"/>
      <c r="L11" s="338"/>
      <c r="M11" s="328"/>
      <c r="P11" s="243"/>
      <c r="Q11" s="243"/>
      <c r="R11" s="243"/>
      <c r="S11" s="243"/>
      <c r="T11" s="243"/>
      <c r="U11" s="243"/>
      <c r="V11" s="243"/>
      <c r="W11" s="243"/>
      <c r="X11" s="243"/>
      <c r="Y11" s="243"/>
      <c r="Z11" s="243"/>
    </row>
    <row r="12" spans="1:26" x14ac:dyDescent="0.2">
      <c r="A12" s="157" t="str">
        <f>IF(AND(WEEKDAY($B12,2)&lt;&gt;3,VLOOKUP($B12,Info!$AO$7:$AO$17,1)=$B12)," ","")&amp;IF(WEEKDAY(B12,2)=1,INT((B12-(DATE(YEAR(B12+(MOD(8-WEEKDAY(B12),7)-3)),1,1))-3+
MOD(WEEKDAY(DATE(YEAR(B12+(MOD(8-WEEKDAY(B12),7)-3)),1,1))+1,7))/7)+1,"")</f>
        <v/>
      </c>
      <c r="B12" s="68">
        <f t="shared" si="0"/>
        <v>41765</v>
      </c>
      <c r="C12" s="59"/>
      <c r="D12" s="59"/>
      <c r="E12" s="59"/>
      <c r="F12" s="59"/>
      <c r="G12" s="216">
        <f>IF(AND(OR(WEEKDAY(B12,2)&gt;5,LEFT(A12,1)=" "),$C12=""),"",IF(E12&gt;0,(E12*60+F12)-(C12*60+D12)-H12+TRUNC(Info!$D$10*(I12/100)),IF(MID(C12,1,2)="Fl",0,Info!AF46))-Info!AF46)</f>
        <v>0</v>
      </c>
      <c r="H12" s="185">
        <f>IF(AND(Info!$C$46&gt;0,$E12&gt;$C12),Info!$C$46,)</f>
        <v>0</v>
      </c>
      <c r="I12" s="185"/>
      <c r="J12" s="175" t="str">
        <f>" "&amp;Info!AF12</f>
        <v xml:space="preserve"> </v>
      </c>
      <c r="K12" s="323"/>
      <c r="L12" s="338"/>
      <c r="M12" s="140"/>
    </row>
    <row r="13" spans="1:26" s="11" customFormat="1" x14ac:dyDescent="0.2">
      <c r="A13" s="157" t="str">
        <f>IF(AND(WEEKDAY($B13,2)&lt;&gt;3,VLOOKUP($B13,Info!$AO$7:$AO$17,1)=$B13)," ","")&amp;IF(WEEKDAY(B13,2)=1,INT((B13-(DATE(YEAR(B13+(MOD(8-WEEKDAY(B13),7)-3)),1,1))-3+
MOD(WEEKDAY(DATE(YEAR(B13+(MOD(8-WEEKDAY(B13),7)-3)),1,1))+1,7))/7)+1,"")</f>
        <v/>
      </c>
      <c r="B13" s="68">
        <f t="shared" si="0"/>
        <v>41766</v>
      </c>
      <c r="C13" s="59"/>
      <c r="D13" s="59"/>
      <c r="E13" s="59"/>
      <c r="F13" s="59"/>
      <c r="G13" s="216">
        <f>IF(AND(OR(WEEKDAY(B13,2)&gt;5,LEFT(A13,1)=" "),$C13=""),"",IF(E13&gt;0,(E13*60+F13)-(C13*60+D13)-H13+TRUNC(Info!$D$10*(I13/100)),IF(MID(C13,1,2)="Fl",0,Info!AF47))-Info!AF47)</f>
        <v>0</v>
      </c>
      <c r="H13" s="185">
        <f>IF(AND(Info!$C$46&gt;0,$E13&gt;$C13),Info!$C$46,)</f>
        <v>0</v>
      </c>
      <c r="I13" s="185"/>
      <c r="J13" s="175" t="str">
        <f>" "&amp;Info!AF13</f>
        <v xml:space="preserve"> </v>
      </c>
      <c r="K13" s="323"/>
      <c r="L13" s="338"/>
      <c r="M13" s="327"/>
      <c r="P13" s="243"/>
      <c r="Q13" s="243"/>
      <c r="R13" s="243"/>
      <c r="S13" s="243"/>
      <c r="T13" s="243"/>
      <c r="U13" s="243"/>
      <c r="V13" s="243"/>
      <c r="W13" s="243"/>
      <c r="X13" s="243"/>
      <c r="Y13" s="243"/>
      <c r="Z13" s="243"/>
    </row>
    <row r="14" spans="1:26" s="11" customFormat="1" x14ac:dyDescent="0.2">
      <c r="A14" s="157" t="str">
        <f>IF(AND(WEEKDAY($B14,2)&lt;&gt;3,VLOOKUP($B14,Info!$AO$7:$AO$17,1)=$B14)," ","")&amp;IF(WEEKDAY(B14,2)=1,INT((B14-(DATE(YEAR(B14+(MOD(8-WEEKDAY(B14),7)-3)),1,1))-3+
MOD(WEEKDAY(DATE(YEAR(B14+(MOD(8-WEEKDAY(B14),7)-3)),1,1))+1,7))/7)+1,"")</f>
        <v/>
      </c>
      <c r="B14" s="68">
        <f t="shared" si="0"/>
        <v>41767</v>
      </c>
      <c r="C14" s="59"/>
      <c r="D14" s="59"/>
      <c r="E14" s="59"/>
      <c r="F14" s="59"/>
      <c r="G14" s="216">
        <f>IF(AND(OR(WEEKDAY(B14,2)&gt;5,LEFT(A14,1)=" "),$C14=""),"",IF(E14&gt;0,(E14*60+F14)-(C14*60+D14)-H14+TRUNC(Info!$D$10*(I14/100)),IF(MID(C14,1,2)="Fl",0,Info!AF48))-Info!AF48)</f>
        <v>0</v>
      </c>
      <c r="H14" s="185">
        <f>IF(AND(Info!$C$46&gt;0,$E14&gt;$C14),Info!$C$46,)</f>
        <v>0</v>
      </c>
      <c r="I14" s="185"/>
      <c r="J14" s="175" t="str">
        <f>" "&amp;Info!AF14</f>
        <v xml:space="preserve"> Frigjøringen</v>
      </c>
      <c r="K14" s="323"/>
      <c r="L14" s="338"/>
      <c r="M14" s="327"/>
      <c r="P14" s="243"/>
      <c r="Q14" s="243"/>
      <c r="R14" s="243"/>
      <c r="S14" s="243"/>
      <c r="T14" s="243"/>
      <c r="U14" s="243"/>
      <c r="V14" s="243"/>
      <c r="W14" s="243"/>
      <c r="X14" s="243"/>
      <c r="Y14" s="243"/>
      <c r="Z14" s="243"/>
    </row>
    <row r="15" spans="1:26" s="11" customFormat="1" x14ac:dyDescent="0.2">
      <c r="A15" s="157" t="str">
        <f>IF(AND(WEEKDAY($B15,2)&lt;&gt;3,VLOOKUP($B15,Info!$AO$7:$AO$17,1)=$B15)," ","")&amp;IF(WEEKDAY(B15,2)=1,INT((B15-(DATE(YEAR(B15+(MOD(8-WEEKDAY(B15),7)-3)),1,1))-3+
MOD(WEEKDAY(DATE(YEAR(B15+(MOD(8-WEEKDAY(B15),7)-3)),1,1))+1,7))/7)+1,"")</f>
        <v/>
      </c>
      <c r="B15" s="68">
        <f t="shared" si="0"/>
        <v>41768</v>
      </c>
      <c r="C15" s="59"/>
      <c r="D15" s="59"/>
      <c r="E15" s="59"/>
      <c r="F15" s="59"/>
      <c r="G15" s="216">
        <f>IF(AND(OR(WEEKDAY(B15,2)&gt;5,LEFT(A15,1)=" "),$C15=""),"",IF(E15&gt;0,(E15*60+F15)-(C15*60+D15)-H15+TRUNC(Info!$D$10*(I15/100)),IF(MID(C15,1,2)="Fl",0,Info!AF49))-Info!AF49)</f>
        <v>0</v>
      </c>
      <c r="H15" s="185">
        <f>IF(AND(Info!$C$46&gt;0,$E15&gt;$C15),Info!$C$46,)</f>
        <v>0</v>
      </c>
      <c r="I15" s="185"/>
      <c r="J15" s="175" t="str">
        <f>" "&amp;Info!AF15</f>
        <v xml:space="preserve"> </v>
      </c>
      <c r="K15" s="323"/>
      <c r="L15" s="338"/>
      <c r="M15" s="327"/>
      <c r="P15" s="243"/>
      <c r="Q15" s="243"/>
      <c r="R15" s="243"/>
      <c r="S15" s="243"/>
      <c r="T15" s="243"/>
      <c r="U15" s="243"/>
      <c r="V15" s="243"/>
      <c r="W15" s="243"/>
      <c r="X15" s="243"/>
      <c r="Y15" s="243"/>
      <c r="Z15" s="243"/>
    </row>
    <row r="16" spans="1:26" s="11" customFormat="1" x14ac:dyDescent="0.2">
      <c r="A16" s="157" t="str">
        <f>IF(AND(WEEKDAY($B16,2)&lt;&gt;3,VLOOKUP($B16,Info!$AO$7:$AO$17,1)=$B16)," ","")&amp;IF(WEEKDAY(B16,2)=1,INT((B16-(DATE(YEAR(B16+(MOD(8-WEEKDAY(B16),7)-3)),1,1))-3+
MOD(WEEKDAY(DATE(YEAR(B16+(MOD(8-WEEKDAY(B16),7)-3)),1,1))+1,7))/7)+1,"")</f>
        <v/>
      </c>
      <c r="B16" s="68">
        <f t="shared" si="0"/>
        <v>41769</v>
      </c>
      <c r="C16" s="59"/>
      <c r="D16" s="59"/>
      <c r="E16" s="59"/>
      <c r="F16" s="59"/>
      <c r="G16" s="216" t="str">
        <f>IF(AND(OR(WEEKDAY(B16,2)&gt;5,LEFT(A16,1)=" "),$C16=""),"",IF(E16&gt;0,(E16*60+F16)-(C16*60+D16)-H16+TRUNC(Info!$D$10*(I16/100)),IF(MID(C16,1,2)="Fl",0,Info!AF50))-Info!AF50)</f>
        <v/>
      </c>
      <c r="H16" s="185">
        <f>IF(AND(Info!$C$46&gt;0,$E16&gt;$C16),Info!$C$46,)</f>
        <v>0</v>
      </c>
      <c r="I16" s="185"/>
      <c r="J16" s="175" t="str">
        <f>" "&amp;Info!AF16</f>
        <v xml:space="preserve"> </v>
      </c>
      <c r="K16" s="323"/>
      <c r="L16" s="338"/>
      <c r="M16" s="327"/>
      <c r="P16" s="243"/>
      <c r="Q16" s="243"/>
      <c r="R16" s="243"/>
      <c r="S16" s="243"/>
      <c r="T16" s="243"/>
      <c r="U16" s="243"/>
      <c r="V16" s="243"/>
      <c r="W16" s="243"/>
      <c r="X16" s="243"/>
      <c r="Y16" s="243"/>
      <c r="Z16" s="243"/>
    </row>
    <row r="17" spans="1:26" s="11" customFormat="1" x14ac:dyDescent="0.2">
      <c r="A17" s="157" t="str">
        <f>IF(AND(WEEKDAY($B17,2)&lt;&gt;3,VLOOKUP($B17,Info!$AO$7:$AO$17,1)=$B17)," ","")&amp;IF(WEEKDAY(B17,2)=1,INT((B17-(DATE(YEAR(B17+(MOD(8-WEEKDAY(B17),7)-3)),1,1))-3+
MOD(WEEKDAY(DATE(YEAR(B17+(MOD(8-WEEKDAY(B17),7)-3)),1,1))+1,7))/7)+1,"")</f>
        <v/>
      </c>
      <c r="B17" s="68">
        <f t="shared" si="0"/>
        <v>41770</v>
      </c>
      <c r="C17" s="59"/>
      <c r="D17" s="59"/>
      <c r="E17" s="59"/>
      <c r="F17" s="59"/>
      <c r="G17" s="216" t="str">
        <f>IF(AND(OR(WEEKDAY(B17,2)&gt;5,LEFT(A17,1)=" "),$C17=""),"",IF(E17&gt;0,(E17*60+F17)-(C17*60+D17)-H17+TRUNC(Info!$D$10*(I17/100)),IF(MID(C17,1,2)="Fl",0,Info!AF51))-Info!AF51)</f>
        <v/>
      </c>
      <c r="H17" s="185">
        <f>IF(AND(Info!$C$46&gt;0,$E17&gt;$C17),Info!$C$46,)</f>
        <v>0</v>
      </c>
      <c r="I17" s="185"/>
      <c r="J17" s="175" t="str">
        <f>" "&amp;Info!AF17</f>
        <v xml:space="preserve"> </v>
      </c>
      <c r="K17" s="323"/>
      <c r="L17" s="338"/>
      <c r="M17" s="327"/>
      <c r="P17" s="243"/>
      <c r="Q17" s="243"/>
      <c r="R17" s="243"/>
      <c r="S17" s="243"/>
      <c r="T17" s="243"/>
      <c r="U17" s="243"/>
      <c r="V17" s="243"/>
      <c r="W17" s="243"/>
      <c r="X17" s="243"/>
      <c r="Y17" s="243"/>
      <c r="Z17" s="243"/>
    </row>
    <row r="18" spans="1:26" s="11" customFormat="1" x14ac:dyDescent="0.2">
      <c r="A18" s="157" t="str">
        <f>IF(AND(WEEKDAY($B18,2)&lt;&gt;3,VLOOKUP($B18,Info!$AO$7:$AO$17,1)=$B18)," ","")&amp;IF(WEEKDAY(B18,2)=1,INT((B18-(DATE(YEAR(B18+(MOD(8-WEEKDAY(B18),7)-3)),1,1))-3+
MOD(WEEKDAY(DATE(YEAR(B18+(MOD(8-WEEKDAY(B18),7)-3)),1,1))+1,7))/7)+1,"")</f>
        <v>20</v>
      </c>
      <c r="B18" s="68">
        <f t="shared" si="0"/>
        <v>41771</v>
      </c>
      <c r="C18" s="59"/>
      <c r="D18" s="59"/>
      <c r="E18" s="59"/>
      <c r="F18" s="59"/>
      <c r="G18" s="216">
        <f>IF(AND(OR(WEEKDAY(B18,2)&gt;5,LEFT(A18,1)=" "),$C18=""),"",IF(E18&gt;0,(E18*60+F18)-(C18*60+D18)-H18+TRUNC(Info!$D$10*(I18/100)),IF(MID(C18,1,2)="Fl",0,Info!AF52))-Info!AF52)</f>
        <v>0</v>
      </c>
      <c r="H18" s="185">
        <f>IF(AND(Info!$C$46&gt;0,$E18&gt;$C18),Info!$C$46,)</f>
        <v>0</v>
      </c>
      <c r="I18" s="185"/>
      <c r="J18" s="175" t="str">
        <f>" "&amp;Info!AF18</f>
        <v xml:space="preserve"> </v>
      </c>
      <c r="K18" s="323"/>
      <c r="L18" s="338"/>
      <c r="M18" s="327"/>
      <c r="P18" s="243"/>
      <c r="Q18" s="243"/>
      <c r="R18" s="243"/>
      <c r="S18" s="243"/>
      <c r="T18" s="243"/>
      <c r="U18" s="243"/>
      <c r="V18" s="243"/>
      <c r="W18" s="243"/>
      <c r="X18" s="243"/>
      <c r="Y18" s="243"/>
      <c r="Z18" s="243"/>
    </row>
    <row r="19" spans="1:26" s="11" customFormat="1" x14ac:dyDescent="0.2">
      <c r="A19" s="157" t="str">
        <f>IF(AND(WEEKDAY($B19,2)&lt;&gt;3,VLOOKUP($B19,Info!$AO$7:$AO$17,1)=$B19)," ","")&amp;IF(WEEKDAY(B19,2)=1,INT((B19-(DATE(YEAR(B19+(MOD(8-WEEKDAY(B19),7)-3)),1,1))-3+
MOD(WEEKDAY(DATE(YEAR(B19+(MOD(8-WEEKDAY(B19),7)-3)),1,1))+1,7))/7)+1,"")</f>
        <v/>
      </c>
      <c r="B19" s="68">
        <f t="shared" si="0"/>
        <v>41772</v>
      </c>
      <c r="C19" s="59"/>
      <c r="D19" s="59"/>
      <c r="E19" s="59"/>
      <c r="F19" s="59"/>
      <c r="G19" s="216">
        <f>IF(AND(OR(WEEKDAY(B19,2)&gt;5,LEFT(A19,1)=" "),$C19=""),"",IF(E19&gt;0,(E19*60+F19)-(C19*60+D19)-H19+TRUNC(Info!$D$10*(I19/100)),IF(MID(C19,1,2)="Fl",0,Info!AF53))-Info!AF53)</f>
        <v>0</v>
      </c>
      <c r="H19" s="185">
        <f>IF(AND(Info!$C$46&gt;0,$E19&gt;$C19),Info!$C$46,)</f>
        <v>0</v>
      </c>
      <c r="I19" s="185"/>
      <c r="J19" s="175" t="str">
        <f>" "&amp;Info!AF19</f>
        <v xml:space="preserve"> </v>
      </c>
      <c r="K19" s="323"/>
      <c r="L19" s="338"/>
      <c r="M19" s="327"/>
      <c r="P19" s="243"/>
      <c r="Q19" s="243"/>
      <c r="R19" s="243"/>
      <c r="S19" s="243"/>
      <c r="T19" s="243"/>
      <c r="U19" s="243"/>
      <c r="V19" s="243"/>
      <c r="W19" s="243"/>
      <c r="X19" s="243"/>
      <c r="Y19" s="243"/>
      <c r="Z19" s="243"/>
    </row>
    <row r="20" spans="1:26" s="11" customFormat="1" x14ac:dyDescent="0.2">
      <c r="A20" s="157" t="str">
        <f>IF(AND(WEEKDAY($B20,2)&lt;&gt;3,VLOOKUP($B20,Info!$AO$7:$AO$17,1)=$B20)," ","")&amp;IF(WEEKDAY(B20,2)=1,INT((B20-(DATE(YEAR(B20+(MOD(8-WEEKDAY(B20),7)-3)),1,1))-3+
MOD(WEEKDAY(DATE(YEAR(B20+(MOD(8-WEEKDAY(B20),7)-3)),1,1))+1,7))/7)+1,"")</f>
        <v/>
      </c>
      <c r="B20" s="68">
        <f t="shared" si="0"/>
        <v>41773</v>
      </c>
      <c r="C20" s="59"/>
      <c r="D20" s="59"/>
      <c r="E20" s="59"/>
      <c r="F20" s="59"/>
      <c r="G20" s="216">
        <f>IF(AND(OR(WEEKDAY(B20,2)&gt;5,LEFT(A20,1)=" "),$C20=""),"",IF(E20&gt;0,(E20*60+F20)-(C20*60+D20)-H20+TRUNC(Info!$D$10*(I20/100)),IF(MID(C20,1,2)="Fl",0,Info!AF54))-Info!AF54)</f>
        <v>0</v>
      </c>
      <c r="H20" s="185">
        <f>IF(AND(Info!$C$46&gt;0,$E20&gt;$C20),Info!$C$46,)</f>
        <v>0</v>
      </c>
      <c r="I20" s="185"/>
      <c r="J20" s="175" t="str">
        <f>" "&amp;Info!AF20</f>
        <v xml:space="preserve"> </v>
      </c>
      <c r="K20" s="323"/>
      <c r="L20" s="338"/>
      <c r="M20" s="327"/>
      <c r="P20" s="243"/>
      <c r="Q20" s="243"/>
      <c r="R20" s="243"/>
      <c r="S20" s="243"/>
      <c r="T20" s="243"/>
      <c r="U20" s="243"/>
      <c r="V20" s="243"/>
      <c r="W20" s="243"/>
      <c r="X20" s="243"/>
      <c r="Y20" s="243"/>
      <c r="Z20" s="243"/>
    </row>
    <row r="21" spans="1:26" s="11" customFormat="1" x14ac:dyDescent="0.2">
      <c r="A21" s="157" t="str">
        <f>IF(AND(WEEKDAY($B21,2)&lt;&gt;3,VLOOKUP($B21,Info!$AO$7:$AO$17,1)=$B21)," ","")&amp;IF(WEEKDAY(B21,2)=1,INT((B21-(DATE(YEAR(B21+(MOD(8-WEEKDAY(B21),7)-3)),1,1))-3+
MOD(WEEKDAY(DATE(YEAR(B21+(MOD(8-WEEKDAY(B21),7)-3)),1,1))+1,7))/7)+1,"")</f>
        <v/>
      </c>
      <c r="B21" s="68">
        <f t="shared" si="0"/>
        <v>41774</v>
      </c>
      <c r="C21" s="59"/>
      <c r="D21" s="59"/>
      <c r="E21" s="59"/>
      <c r="F21" s="59"/>
      <c r="G21" s="216">
        <f>IF(AND(OR(WEEKDAY(B21,2)&gt;5,LEFT(A21,1)=" "),$C21=""),"",IF(E21&gt;0,(E21*60+F21)-(C21*60+D21)-H21+TRUNC(Info!$D$10*(I21/100)),IF(MID(C21,1,2)="Fl",0,Info!AF55))-Info!AF55)</f>
        <v>0</v>
      </c>
      <c r="H21" s="185">
        <f>IF(AND(Info!$C$46&gt;0,$E21&gt;$C21),Info!$C$46,)</f>
        <v>0</v>
      </c>
      <c r="I21" s="185"/>
      <c r="J21" s="175" t="str">
        <f>" "&amp;Info!AF21</f>
        <v xml:space="preserve"> </v>
      </c>
      <c r="K21" s="323"/>
      <c r="L21" s="338"/>
      <c r="M21" s="327"/>
      <c r="P21" s="243"/>
      <c r="Q21" s="243"/>
      <c r="R21" s="243"/>
      <c r="S21" s="243"/>
      <c r="T21" s="243"/>
      <c r="U21" s="243"/>
      <c r="V21" s="243"/>
      <c r="W21" s="243"/>
      <c r="X21" s="243"/>
      <c r="Y21" s="243"/>
      <c r="Z21" s="243"/>
    </row>
    <row r="22" spans="1:26" s="11" customFormat="1" x14ac:dyDescent="0.2">
      <c r="A22" s="157" t="str">
        <f>IF(AND(WEEKDAY($B22,2)&lt;&gt;3,VLOOKUP($B22,Info!$AO$7:$AO$17,1)=$B22)," ","")&amp;IF(WEEKDAY(B22,2)=1,INT((B22-(DATE(YEAR(B22+(MOD(8-WEEKDAY(B22),7)-3)),1,1))-3+
MOD(WEEKDAY(DATE(YEAR(B22+(MOD(8-WEEKDAY(B22),7)-3)),1,1))+1,7))/7)+1,"")</f>
        <v/>
      </c>
      <c r="B22" s="68">
        <f t="shared" si="0"/>
        <v>41775</v>
      </c>
      <c r="C22" s="59"/>
      <c r="D22" s="59"/>
      <c r="E22" s="59"/>
      <c r="F22" s="59"/>
      <c r="G22" s="216">
        <f>IF(AND(OR(WEEKDAY(B22,2)&gt;5,LEFT(A22,1)=" "),$C22=""),"",IF(E22&gt;0,(E22*60+F22)-(C22*60+D22)-H22+TRUNC(Info!$D$10*(I22/100)),IF(MID(C22,1,2)="Fl",0,Info!AF56))-Info!AF56)</f>
        <v>0</v>
      </c>
      <c r="H22" s="185">
        <f>IF(AND(Info!$C$46&gt;0,$E22&gt;$C22),Info!$C$46,)</f>
        <v>0</v>
      </c>
      <c r="I22" s="185"/>
      <c r="J22" s="175" t="str">
        <f>" "&amp;Info!AF22</f>
        <v xml:space="preserve"> </v>
      </c>
      <c r="K22" s="334"/>
      <c r="L22" s="343"/>
      <c r="M22" s="327"/>
      <c r="P22" s="243"/>
      <c r="Q22" s="243"/>
      <c r="R22" s="243"/>
      <c r="S22" s="243"/>
      <c r="T22" s="243"/>
      <c r="U22" s="243"/>
      <c r="V22" s="243"/>
      <c r="W22" s="243"/>
      <c r="X22" s="243"/>
      <c r="Y22" s="243"/>
      <c r="Z22" s="243"/>
    </row>
    <row r="23" spans="1:26" s="11" customFormat="1" x14ac:dyDescent="0.2">
      <c r="A23" s="157" t="str">
        <f>IF(AND(WEEKDAY($B23,2)&lt;&gt;3,VLOOKUP($B23,Info!$AO$7:$AO$17,1)=$B23)," ","")&amp;IF(WEEKDAY(B23,2)=1,INT((B23-(DATE(YEAR(B23+(MOD(8-WEEKDAY(B23),7)-3)),1,1))-3+
MOD(WEEKDAY(DATE(YEAR(B23+(MOD(8-WEEKDAY(B23),7)-3)),1,1))+1,7))/7)+1,"")</f>
        <v/>
      </c>
      <c r="B23" s="75">
        <f t="shared" si="0"/>
        <v>41776</v>
      </c>
      <c r="C23" s="58"/>
      <c r="D23" s="58"/>
      <c r="E23" s="58"/>
      <c r="F23" s="58"/>
      <c r="G23" s="284" t="str">
        <f>IF($C23="","",IF(E23&gt;0,(E23*60+F23)-(C23*60+D23)-H23+TRUNC(Info!$D$10*(I23/100)),IF(MID(C23,1,2)="Fl",0,Info!AF57))-Info!AF57)</f>
        <v/>
      </c>
      <c r="H23" s="187">
        <f>IF(AND(Info!$C$46&gt;0,$E23&gt;$C23),Info!$C$46,)</f>
        <v>0</v>
      </c>
      <c r="I23" s="187"/>
      <c r="J23" s="177" t="str">
        <f>" "&amp;Info!AF23</f>
        <v xml:space="preserve"> Nasjonaldag</v>
      </c>
      <c r="K23" s="344"/>
      <c r="L23" s="341"/>
      <c r="M23" s="327"/>
      <c r="P23" s="243"/>
      <c r="Q23" s="243"/>
      <c r="R23" s="243"/>
      <c r="S23" s="243"/>
      <c r="T23" s="243"/>
      <c r="U23" s="243"/>
      <c r="V23" s="243"/>
      <c r="W23" s="243"/>
      <c r="X23" s="243"/>
      <c r="Y23" s="243"/>
      <c r="Z23" s="243"/>
    </row>
    <row r="24" spans="1:26" s="11" customFormat="1" x14ac:dyDescent="0.2">
      <c r="A24" s="157" t="str">
        <f>IF(AND(WEEKDAY($B24,2)&lt;&gt;3,VLOOKUP($B24,Info!$AO$7:$AO$17,1)=$B24)," ","")&amp;IF(WEEKDAY(B24,2)=1,INT((B24-(DATE(YEAR(B24+(MOD(8-WEEKDAY(B24),7)-3)),1,1))-3+
MOD(WEEKDAY(DATE(YEAR(B24+(MOD(8-WEEKDAY(B24),7)-3)),1,1))+1,7))/7)+1,"")</f>
        <v/>
      </c>
      <c r="B24" s="68">
        <f t="shared" si="0"/>
        <v>41777</v>
      </c>
      <c r="C24" s="59"/>
      <c r="D24" s="59"/>
      <c r="E24" s="59"/>
      <c r="F24" s="59"/>
      <c r="G24" s="216" t="str">
        <f>IF(AND(OR(WEEKDAY(B24,2)&gt;5,LEFT(A24,1)=" "),$C24=""),"",IF(E24&gt;0,(E24*60+F24)-(C24*60+D24)-H24+TRUNC(Info!$D$10*(I24/100)),IF(MID(C24,1,2)="Fl",0,Info!AF58))-Info!AF58)</f>
        <v/>
      </c>
      <c r="H24" s="185">
        <f>IF(AND(Info!$C$46&gt;0,$E24&gt;$C24),Info!$C$46,)</f>
        <v>0</v>
      </c>
      <c r="I24" s="185"/>
      <c r="J24" s="175" t="str">
        <f>" "&amp;Info!AF24</f>
        <v xml:space="preserve"> </v>
      </c>
      <c r="K24" s="345"/>
      <c r="L24" s="346"/>
      <c r="M24" s="327"/>
      <c r="P24" s="243"/>
      <c r="Q24" s="243"/>
      <c r="R24" s="243"/>
      <c r="S24" s="243"/>
      <c r="T24" s="243"/>
      <c r="U24" s="243"/>
      <c r="V24" s="243"/>
      <c r="W24" s="243"/>
      <c r="X24" s="243"/>
      <c r="Y24" s="243"/>
      <c r="Z24" s="243"/>
    </row>
    <row r="25" spans="1:26" s="11" customFormat="1" x14ac:dyDescent="0.2">
      <c r="A25" s="157" t="str">
        <f>IF(AND(WEEKDAY($B25,2)&lt;&gt;3,VLOOKUP($B25,Info!$AO$7:$AO$17,1)=$B25)," ","")&amp;IF(WEEKDAY(B25,2)=1,INT((B25-(DATE(YEAR(B25+(MOD(8-WEEKDAY(B25),7)-3)),1,1))-3+
MOD(WEEKDAY(DATE(YEAR(B25+(MOD(8-WEEKDAY(B25),7)-3)),1,1))+1,7))/7)+1,"")</f>
        <v>21</v>
      </c>
      <c r="B25" s="68">
        <f t="shared" si="0"/>
        <v>41778</v>
      </c>
      <c r="C25" s="59"/>
      <c r="D25" s="59"/>
      <c r="E25" s="59"/>
      <c r="F25" s="59"/>
      <c r="G25" s="216">
        <f>IF(AND(OR(WEEKDAY(B25,2)&gt;5,LEFT(A25,1)=" "),$C25=""),"",IF(E25&gt;0,(E25*60+F25)-(C25*60+D25)-H25+TRUNC(Info!$D$10*(I25/100)),IF(MID(C25,1,2)="Fl",0,Info!AF59))-Info!AF59)</f>
        <v>0</v>
      </c>
      <c r="H25" s="185">
        <f>IF(AND(Info!$C$46&gt;0,$E25&gt;$C25),Info!$C$46,)</f>
        <v>0</v>
      </c>
      <c r="I25" s="185"/>
      <c r="J25" s="175" t="str">
        <f>" "&amp;Info!AF25</f>
        <v xml:space="preserve"> </v>
      </c>
      <c r="K25" s="323"/>
      <c r="L25" s="338"/>
      <c r="M25" s="327"/>
      <c r="P25" s="243"/>
      <c r="Q25" s="243"/>
      <c r="R25" s="243"/>
      <c r="S25" s="243"/>
      <c r="T25" s="243"/>
      <c r="U25" s="243"/>
      <c r="V25" s="243"/>
      <c r="W25" s="243"/>
      <c r="X25" s="243"/>
      <c r="Y25" s="243"/>
      <c r="Z25" s="243"/>
    </row>
    <row r="26" spans="1:26" s="11" customFormat="1" x14ac:dyDescent="0.2">
      <c r="A26" s="157" t="str">
        <f>IF(AND(WEEKDAY($B26,2)&lt;&gt;3,VLOOKUP($B26,Info!$AO$7:$AO$17,1)=$B26)," ","")&amp;IF(WEEKDAY(B26,2)=1,INT((B26-(DATE(YEAR(B26+(MOD(8-WEEKDAY(B26),7)-3)),1,1))-3+
MOD(WEEKDAY(DATE(YEAR(B26+(MOD(8-WEEKDAY(B26),7)-3)),1,1))+1,7))/7)+1,"")</f>
        <v/>
      </c>
      <c r="B26" s="68">
        <f t="shared" si="0"/>
        <v>41779</v>
      </c>
      <c r="C26" s="59"/>
      <c r="D26" s="59"/>
      <c r="E26" s="59"/>
      <c r="F26" s="59"/>
      <c r="G26" s="216">
        <f>IF(AND(OR(WEEKDAY(B26,2)&gt;5,LEFT(A26,1)=" "),$C26=""),"",IF(E26&gt;0,(E26*60+F26)-(C26*60+D26)-H26+TRUNC(Info!$D$10*(I26/100)),IF(MID(C26,1,2)="Fl",0,Info!AF60))-Info!AF60)</f>
        <v>0</v>
      </c>
      <c r="H26" s="185">
        <f>IF(AND(Info!$C$46&gt;0,$E26&gt;$C26),Info!$C$46,)</f>
        <v>0</v>
      </c>
      <c r="I26" s="185"/>
      <c r="J26" s="175" t="str">
        <f>" "&amp;Info!AF26</f>
        <v xml:space="preserve"> </v>
      </c>
      <c r="K26" s="323"/>
      <c r="L26" s="338"/>
      <c r="M26" s="327"/>
      <c r="P26" s="243"/>
      <c r="Q26" s="243"/>
      <c r="R26" s="243"/>
      <c r="S26" s="243"/>
      <c r="T26" s="243"/>
      <c r="U26" s="243"/>
      <c r="V26" s="243"/>
      <c r="W26" s="243"/>
      <c r="X26" s="243"/>
      <c r="Y26" s="243"/>
      <c r="Z26" s="243"/>
    </row>
    <row r="27" spans="1:26" s="11" customFormat="1" x14ac:dyDescent="0.2">
      <c r="A27" s="157" t="str">
        <f>IF(AND(WEEKDAY($B27,2)&lt;&gt;3,VLOOKUP($B27,Info!$AO$7:$AO$17,1)=$B27)," ","")&amp;IF(WEEKDAY(B27,2)=1,INT((B27-(DATE(YEAR(B27+(MOD(8-WEEKDAY(B27),7)-3)),1,1))-3+
MOD(WEEKDAY(DATE(YEAR(B27+(MOD(8-WEEKDAY(B27),7)-3)),1,1))+1,7))/7)+1,"")</f>
        <v/>
      </c>
      <c r="B27" s="68">
        <f t="shared" si="0"/>
        <v>41780</v>
      </c>
      <c r="C27" s="59"/>
      <c r="D27" s="59"/>
      <c r="E27" s="59"/>
      <c r="F27" s="59"/>
      <c r="G27" s="216">
        <f>IF(AND(OR(WEEKDAY(B27,2)&gt;5,LEFT(A27,1)=" "),$C27=""),"",IF(E27&gt;0,(E27*60+F27)-(C27*60+D27)-H27+TRUNC(Info!$D$10*(I27/100)),IF(MID(C27,1,2)="Fl",0,Info!AF61))-Info!AF61)</f>
        <v>0</v>
      </c>
      <c r="H27" s="185">
        <f>IF(AND(Info!$C$46&gt;0,$E27&gt;$C27),Info!$C$46,)</f>
        <v>0</v>
      </c>
      <c r="I27" s="185"/>
      <c r="J27" s="175" t="str">
        <f>" "&amp;Info!AF27</f>
        <v xml:space="preserve"> </v>
      </c>
      <c r="K27" s="323"/>
      <c r="L27" s="338"/>
      <c r="M27" s="327"/>
      <c r="P27" s="243"/>
      <c r="Q27" s="243"/>
      <c r="R27" s="243"/>
      <c r="S27" s="243"/>
      <c r="T27" s="243"/>
      <c r="U27" s="243"/>
      <c r="V27" s="243"/>
      <c r="W27" s="243"/>
      <c r="X27" s="243"/>
      <c r="Y27" s="243"/>
      <c r="Z27" s="243"/>
    </row>
    <row r="28" spans="1:26" s="11" customFormat="1" x14ac:dyDescent="0.2">
      <c r="A28" s="157" t="str">
        <f>IF(AND(WEEKDAY($B28,2)&lt;&gt;3,VLOOKUP($B28,Info!$AO$7:$AO$17,1)=$B28)," ","")&amp;IF(WEEKDAY(B28,2)=1,INT((B28-(DATE(YEAR(B28+(MOD(8-WEEKDAY(B28),7)-3)),1,1))-3+
MOD(WEEKDAY(DATE(YEAR(B28+(MOD(8-WEEKDAY(B28),7)-3)),1,1))+1,7))/7)+1,"")</f>
        <v/>
      </c>
      <c r="B28" s="68">
        <f t="shared" si="0"/>
        <v>41781</v>
      </c>
      <c r="C28" s="59"/>
      <c r="D28" s="59"/>
      <c r="E28" s="59"/>
      <c r="F28" s="59"/>
      <c r="G28" s="216">
        <f>IF(AND(OR(WEEKDAY(B28,2)&gt;5,LEFT(A28,1)=" "),$C28=""),"",IF(E28&gt;0,(E28*60+F28)-(C28*60+D28)-H28+TRUNC(Info!$D$10*(I28/100)),IF(MID(C28,1,2)="Fl",0,Info!AF62))-Info!AF62)</f>
        <v>0</v>
      </c>
      <c r="H28" s="185">
        <f>IF(AND(Info!$C$46&gt;0,$E28&gt;$C28),Info!$C$46,)</f>
        <v>0</v>
      </c>
      <c r="I28" s="185"/>
      <c r="J28" s="175" t="str">
        <f>" "&amp;Info!AF28</f>
        <v xml:space="preserve"> </v>
      </c>
      <c r="K28" s="323"/>
      <c r="L28" s="338"/>
      <c r="M28" s="327"/>
      <c r="P28" s="243"/>
      <c r="Q28" s="243"/>
      <c r="R28" s="243"/>
      <c r="S28" s="243"/>
      <c r="T28" s="243"/>
      <c r="U28" s="243"/>
      <c r="V28" s="243"/>
      <c r="W28" s="243"/>
      <c r="X28" s="243"/>
      <c r="Y28" s="243"/>
      <c r="Z28" s="243"/>
    </row>
    <row r="29" spans="1:26" s="11" customFormat="1" x14ac:dyDescent="0.2">
      <c r="A29" s="157" t="str">
        <f>IF(AND(WEEKDAY($B29,2)&lt;&gt;3,VLOOKUP($B29,Info!$AO$7:$AO$17,1)=$B29)," ","")&amp;IF(WEEKDAY(B29,2)=1,INT((B29-(DATE(YEAR(B29+(MOD(8-WEEKDAY(B29),7)-3)),1,1))-3+
MOD(WEEKDAY(DATE(YEAR(B29+(MOD(8-WEEKDAY(B29),7)-3)),1,1))+1,7))/7)+1,"")</f>
        <v/>
      </c>
      <c r="B29" s="68">
        <f t="shared" si="0"/>
        <v>41782</v>
      </c>
      <c r="C29" s="59"/>
      <c r="D29" s="59"/>
      <c r="E29" s="59"/>
      <c r="F29" s="59"/>
      <c r="G29" s="216">
        <f>IF(AND(OR(WEEKDAY(B29,2)&gt;5,LEFT(A29,1)=" "),$C29=""),"",IF(E29&gt;0,(E29*60+F29)-(C29*60+D29)-H29+TRUNC(Info!$D$10*(I29/100)),IF(MID(C29,1,2)="Fl",0,Info!AF63))-Info!AF63)</f>
        <v>0</v>
      </c>
      <c r="H29" s="185">
        <f>IF(AND(Info!$C$46&gt;0,$E29&gt;$C29),Info!$C$46,)</f>
        <v>0</v>
      </c>
      <c r="I29" s="185"/>
      <c r="J29" s="175" t="str">
        <f>" "&amp;Info!AF29</f>
        <v xml:space="preserve"> </v>
      </c>
      <c r="K29" s="323"/>
      <c r="L29" s="338"/>
      <c r="M29" s="327"/>
      <c r="P29" s="243"/>
      <c r="Q29" s="243"/>
      <c r="R29" s="243"/>
      <c r="S29" s="243"/>
      <c r="T29" s="243"/>
      <c r="U29" s="243"/>
      <c r="V29" s="243"/>
      <c r="W29" s="243"/>
      <c r="X29" s="243"/>
      <c r="Y29" s="243"/>
      <c r="Z29" s="243"/>
    </row>
    <row r="30" spans="1:26" s="11" customFormat="1" x14ac:dyDescent="0.2">
      <c r="A30" s="157" t="str">
        <f>IF(AND(WEEKDAY($B30,2)&lt;&gt;3,VLOOKUP($B30,Info!$AO$7:$AO$17,1)=$B30)," ","")&amp;IF(WEEKDAY(B30,2)=1,INT((B30-(DATE(YEAR(B30+(MOD(8-WEEKDAY(B30),7)-3)),1,1))-3+
MOD(WEEKDAY(DATE(YEAR(B30+(MOD(8-WEEKDAY(B30),7)-3)),1,1))+1,7))/7)+1,"")</f>
        <v/>
      </c>
      <c r="B30" s="68">
        <f t="shared" si="0"/>
        <v>41783</v>
      </c>
      <c r="C30" s="59"/>
      <c r="D30" s="59"/>
      <c r="E30" s="59"/>
      <c r="F30" s="59"/>
      <c r="G30" s="216" t="str">
        <f>IF(AND(OR(WEEKDAY(B30,2)&gt;5,LEFT(A30,1)=" "),$C30=""),"",IF(E30&gt;0,(E30*60+F30)-(C30*60+D30)-H30+TRUNC(Info!$D$10*(I30/100)),IF(MID(C30,1,2)="Fl",0,Info!AF64))-Info!AF64)</f>
        <v/>
      </c>
      <c r="H30" s="185">
        <f>IF(AND(Info!$C$46&gt;0,$E30&gt;$C30),Info!$C$46,)</f>
        <v>0</v>
      </c>
      <c r="I30" s="185"/>
      <c r="J30" s="175" t="str">
        <f>" "&amp;Info!AF30</f>
        <v xml:space="preserve"> </v>
      </c>
      <c r="K30" s="323"/>
      <c r="L30" s="338"/>
      <c r="M30" s="327"/>
      <c r="P30" s="243"/>
      <c r="Q30" s="243"/>
      <c r="R30" s="243"/>
      <c r="S30" s="243"/>
      <c r="T30" s="243"/>
      <c r="U30" s="243"/>
      <c r="V30" s="243"/>
      <c r="W30" s="243"/>
      <c r="X30" s="243"/>
      <c r="Y30" s="243"/>
      <c r="Z30" s="243"/>
    </row>
    <row r="31" spans="1:26" s="11" customFormat="1" x14ac:dyDescent="0.2">
      <c r="A31" s="157" t="str">
        <f>IF(AND(WEEKDAY($B31,2)&lt;&gt;3,VLOOKUP($B31,Info!$AO$7:$AO$17,1)=$B31)," ","")&amp;IF(WEEKDAY(B31,2)=1,INT((B31-(DATE(YEAR(B31+(MOD(8-WEEKDAY(B31),7)-3)),1,1))-3+
MOD(WEEKDAY(DATE(YEAR(B31+(MOD(8-WEEKDAY(B31),7)-3)),1,1))+1,7))/7)+1,"")</f>
        <v/>
      </c>
      <c r="B31" s="68">
        <f t="shared" si="0"/>
        <v>41784</v>
      </c>
      <c r="C31" s="59"/>
      <c r="D31" s="59"/>
      <c r="E31" s="59"/>
      <c r="F31" s="59"/>
      <c r="G31" s="216" t="str">
        <f>IF(AND(OR(WEEKDAY(B31,2)&gt;5,LEFT(A31,1)=" "),$C31=""),"",IF(E31&gt;0,(E31*60+F31)-(C31*60+D31)-H31+TRUNC(Info!$D$10*(I31/100)),IF(MID(C31,1,2)="Fl",0,Info!AF65))-Info!AF65)</f>
        <v/>
      </c>
      <c r="H31" s="185">
        <f>IF(AND(Info!$C$46&gt;0,$E31&gt;$C31),Info!$C$46,)</f>
        <v>0</v>
      </c>
      <c r="I31" s="185"/>
      <c r="J31" s="175" t="str">
        <f>" "&amp;Info!AF31</f>
        <v xml:space="preserve"> </v>
      </c>
      <c r="K31" s="323"/>
      <c r="L31" s="338"/>
      <c r="M31" s="327"/>
      <c r="P31" s="243"/>
      <c r="Q31" s="243"/>
      <c r="R31" s="243"/>
      <c r="S31" s="243"/>
      <c r="T31" s="243"/>
      <c r="U31" s="243"/>
      <c r="V31" s="243"/>
      <c r="W31" s="243"/>
      <c r="X31" s="243"/>
      <c r="Y31" s="243"/>
      <c r="Z31" s="243"/>
    </row>
    <row r="32" spans="1:26" s="11" customFormat="1" x14ac:dyDescent="0.2">
      <c r="A32" s="157" t="str">
        <f>IF(AND(WEEKDAY($B32,2)&lt;&gt;3,VLOOKUP($B32,Info!$AO$7:$AO$17,1)=$B32)," ","")&amp;IF(WEEKDAY(B32,2)=1,INT((B32-(DATE(YEAR(B32+(MOD(8-WEEKDAY(B32),7)-3)),1,1))-3+
MOD(WEEKDAY(DATE(YEAR(B32+(MOD(8-WEEKDAY(B32),7)-3)),1,1))+1,7))/7)+1,"")</f>
        <v>22</v>
      </c>
      <c r="B32" s="68">
        <f t="shared" si="0"/>
        <v>41785</v>
      </c>
      <c r="C32" s="59"/>
      <c r="D32" s="59"/>
      <c r="E32" s="59"/>
      <c r="F32" s="59"/>
      <c r="G32" s="216">
        <f>IF(AND(OR(WEEKDAY(B32,2)&gt;5,LEFT(A32,1)=" "),$C32=""),"",IF(E32&gt;0,(E32*60+F32)-(C32*60+D32)-H32+TRUNC(Info!$D$10*(I32/100)),IF(MID(C32,1,2)="Fl",0,Info!AF66))-Info!AF66)</f>
        <v>0</v>
      </c>
      <c r="H32" s="185">
        <f>IF(AND(Info!$C$46&gt;0,$E32&gt;$C32),Info!$C$46,)</f>
        <v>0</v>
      </c>
      <c r="I32" s="185"/>
      <c r="J32" s="175" t="str">
        <f>" "&amp;Info!AF32</f>
        <v xml:space="preserve"> </v>
      </c>
      <c r="K32" s="323"/>
      <c r="L32" s="338"/>
      <c r="M32" s="327"/>
      <c r="P32" s="243"/>
      <c r="Q32" s="243"/>
      <c r="R32" s="243"/>
      <c r="S32" s="243"/>
      <c r="T32" s="243"/>
      <c r="U32" s="243"/>
      <c r="V32" s="243"/>
      <c r="W32" s="243"/>
      <c r="X32" s="243"/>
      <c r="Y32" s="243"/>
      <c r="Z32" s="243"/>
    </row>
    <row r="33" spans="1:26" s="11" customFormat="1" x14ac:dyDescent="0.2">
      <c r="A33" s="157" t="str">
        <f>IF(AND(WEEKDAY($B33,2)&lt;&gt;3,VLOOKUP($B33,Info!$AO$7:$AO$17,1)=$B33)," ","")&amp;IF(WEEKDAY(B33,2)=1,INT((B33-(DATE(YEAR(B33+(MOD(8-WEEKDAY(B33),7)-3)),1,1))-3+
MOD(WEEKDAY(DATE(YEAR(B33+(MOD(8-WEEKDAY(B33),7)-3)),1,1))+1,7))/7)+1,"")</f>
        <v/>
      </c>
      <c r="B33" s="68">
        <f t="shared" si="0"/>
        <v>41786</v>
      </c>
      <c r="C33" s="59"/>
      <c r="D33" s="59"/>
      <c r="E33" s="59"/>
      <c r="F33" s="59"/>
      <c r="G33" s="216">
        <f>IF(AND(OR(WEEKDAY(B33,2)&gt;5,LEFT(A33,1)=" "),$C33=""),"",IF(E33&gt;0,(E33*60+F33)-(C33*60+D33)-H33+TRUNC(Info!$D$10*(I33/100)),IF(MID(C33,1,2)="Fl",0,Info!AF67))-Info!AF67)</f>
        <v>0</v>
      </c>
      <c r="H33" s="185">
        <f>IF(AND(Info!$C$46&gt;0,$E33&gt;$C33),Info!$C$46,)</f>
        <v>0</v>
      </c>
      <c r="I33" s="185"/>
      <c r="J33" s="175" t="str">
        <f>" "&amp;Info!AF33</f>
        <v xml:space="preserve"> </v>
      </c>
      <c r="K33" s="323"/>
      <c r="L33" s="338"/>
      <c r="M33" s="327"/>
      <c r="P33" s="243"/>
      <c r="Q33" s="243"/>
      <c r="R33" s="243"/>
      <c r="S33" s="243"/>
      <c r="T33" s="243"/>
      <c r="U33" s="243"/>
      <c r="V33" s="243"/>
      <c r="W33" s="243"/>
      <c r="X33" s="243"/>
      <c r="Y33" s="243"/>
      <c r="Z33" s="243"/>
    </row>
    <row r="34" spans="1:26" s="11" customFormat="1" x14ac:dyDescent="0.2">
      <c r="A34" s="157" t="str">
        <f>IF(AND(WEEKDAY($B34,2)&lt;&gt;3,VLOOKUP($B34,Info!$AO$7:$AO$17,1)=$B34)," ","")&amp;IF(WEEKDAY(B34,2)=1,INT((B34-(DATE(YEAR(B34+(MOD(8-WEEKDAY(B34),7)-3)),1,1))-3+
MOD(WEEKDAY(DATE(YEAR(B34+(MOD(8-WEEKDAY(B34),7)-3)),1,1))+1,7))/7)+1,"")</f>
        <v/>
      </c>
      <c r="B34" s="68">
        <f t="shared" si="0"/>
        <v>41787</v>
      </c>
      <c r="C34" s="59"/>
      <c r="D34" s="59"/>
      <c r="E34" s="59"/>
      <c r="F34" s="59"/>
      <c r="G34" s="216">
        <f>IF(AND(OR(WEEKDAY(B34,2)&gt;5,LEFT(A34,1)=" "),$C34=""),"",IF(E34&gt;0,(E34*60+F34)-(C34*60+D34)-H34+TRUNC(Info!$D$10*(I34/100)),IF(MID(C34,1,2)="Fl",0,Info!AF68))-Info!AF68)</f>
        <v>0</v>
      </c>
      <c r="H34" s="185">
        <f>IF(AND(Info!$C$46&gt;0,$E34&gt;$C34),Info!$C$46,)</f>
        <v>0</v>
      </c>
      <c r="I34" s="185"/>
      <c r="J34" s="175" t="str">
        <f>" "&amp;Info!AF34</f>
        <v xml:space="preserve"> </v>
      </c>
      <c r="K34" s="323"/>
      <c r="L34" s="338"/>
      <c r="M34" s="327"/>
      <c r="P34" s="243"/>
      <c r="Q34" s="243"/>
      <c r="R34" s="243"/>
      <c r="S34" s="243"/>
      <c r="T34" s="243"/>
      <c r="U34" s="243"/>
      <c r="V34" s="243"/>
      <c r="W34" s="243"/>
      <c r="X34" s="243"/>
      <c r="Y34" s="243"/>
      <c r="Z34" s="243"/>
    </row>
    <row r="35" spans="1:26" s="11" customFormat="1" x14ac:dyDescent="0.2">
      <c r="A35" s="157" t="str">
        <f>IF(AND(WEEKDAY($B35,2)&lt;&gt;3,VLOOKUP($B35,Info!$AO$7:$AO$17,1)=$B35)," ","")&amp;IF(WEEKDAY(B35,2)=1,INT((B35-(DATE(YEAR(B35+(MOD(8-WEEKDAY(B35),7)-3)),1,1))-3+
MOD(WEEKDAY(DATE(YEAR(B35+(MOD(8-WEEKDAY(B35),7)-3)),1,1))+1,7))/7)+1,"")</f>
        <v xml:space="preserve"> </v>
      </c>
      <c r="B35" s="68">
        <f t="shared" si="0"/>
        <v>41788</v>
      </c>
      <c r="C35" s="59"/>
      <c r="D35" s="59"/>
      <c r="E35" s="59"/>
      <c r="F35" s="59"/>
      <c r="G35" s="216" t="str">
        <f>IF(AND(OR(WEEKDAY(B35,2)&gt;5,LEFT(A35,1)=" "),$C35=""),"",IF(E35&gt;0,(E35*60+F35)-(C35*60+D35)-H35+TRUNC(Info!$D$10*(I35/100)),IF(MID(C35,1,2)="Fl",0,Info!AF69))-Info!AF69)</f>
        <v/>
      </c>
      <c r="H35" s="185">
        <f>IF(AND(Info!$C$46&gt;0,$E35&gt;$C35),Info!$C$46,)</f>
        <v>0</v>
      </c>
      <c r="I35" s="185"/>
      <c r="J35" s="175" t="str">
        <f>" "&amp;Info!AF35</f>
        <v xml:space="preserve"> Kr. himmelfart</v>
      </c>
      <c r="K35" s="323"/>
      <c r="L35" s="338"/>
      <c r="M35" s="327"/>
      <c r="P35" s="243"/>
      <c r="Q35" s="243"/>
      <c r="R35" s="243"/>
      <c r="S35" s="243"/>
      <c r="T35" s="243"/>
      <c r="U35" s="243"/>
      <c r="V35" s="243"/>
      <c r="W35" s="243"/>
      <c r="X35" s="243"/>
      <c r="Y35" s="243"/>
      <c r="Z35" s="243"/>
    </row>
    <row r="36" spans="1:26" s="11" customFormat="1" x14ac:dyDescent="0.2">
      <c r="A36" s="157" t="str">
        <f>IF(AND(WEEKDAY($B36,2)&lt;&gt;3,VLOOKUP($B36,Info!$AO$7:$AO$17,1)=$B36)," ","")&amp;IF(WEEKDAY(B36,2)=1,INT((B36-(DATE(YEAR(B36+(MOD(8-WEEKDAY(B36),7)-3)),1,1))-3+
MOD(WEEKDAY(DATE(YEAR(B36+(MOD(8-WEEKDAY(B36),7)-3)),1,1))+1,7))/7)+1,"")</f>
        <v/>
      </c>
      <c r="B36" s="68">
        <f t="shared" si="0"/>
        <v>41789</v>
      </c>
      <c r="C36" s="59"/>
      <c r="D36" s="59"/>
      <c r="E36" s="59"/>
      <c r="F36" s="59"/>
      <c r="G36" s="216">
        <f>IF(AND(OR(WEEKDAY(B36,2)&gt;5,LEFT(A36,1)=" "),$C36=""),"",IF(E36&gt;0,(E36*60+F36)-(C36*60+D36)-H36+TRUNC(Info!$D$10*(I36/100)),IF(MID(C36,1,2)="Fl",0,Info!AF70))-Info!AF70)</f>
        <v>0</v>
      </c>
      <c r="H36" s="185">
        <f>IF(AND(Info!$C$46&gt;0,$E36&gt;$C36),Info!$C$46,)</f>
        <v>0</v>
      </c>
      <c r="I36" s="185"/>
      <c r="J36" s="175" t="str">
        <f>" "&amp;Info!AF36</f>
        <v xml:space="preserve"> </v>
      </c>
      <c r="K36" s="323"/>
      <c r="L36" s="338"/>
      <c r="M36" s="327"/>
      <c r="P36" s="243"/>
      <c r="Q36" s="243"/>
      <c r="R36" s="243"/>
      <c r="S36" s="243"/>
      <c r="T36" s="243"/>
      <c r="U36" s="243"/>
      <c r="V36" s="243"/>
      <c r="W36" s="243"/>
      <c r="X36" s="243"/>
      <c r="Y36" s="243"/>
      <c r="Z36" s="243"/>
    </row>
    <row r="37" spans="1:26" s="11" customFormat="1" ht="13.5" thickBot="1" x14ac:dyDescent="0.25">
      <c r="A37" s="157" t="str">
        <f>IF(AND(WEEKDAY($B37,2)&lt;&gt;3,VLOOKUP($B37,Info!$AO$7:$AO$17,1)=$B37)," ","")&amp;IF(WEEKDAY(B37,2)=1,INT((B37-(DATE(YEAR(B37+(MOD(8-WEEKDAY(B37),7)-3)),1,1))-3+
MOD(WEEKDAY(DATE(YEAR(B37+(MOD(8-WEEKDAY(B37),7)-3)),1,1))+1,7))/7)+1,"")</f>
        <v/>
      </c>
      <c r="B37" s="69">
        <f t="shared" si="0"/>
        <v>41790</v>
      </c>
      <c r="C37" s="60"/>
      <c r="D37" s="60"/>
      <c r="E37" s="60"/>
      <c r="F37" s="60"/>
      <c r="G37" s="217" t="str">
        <f>IF(AND(OR(WEEKDAY(B37,2)&gt;5,LEFT(A37,1)=" "),$C37=""),"",IF(E37&gt;0,(E37*60+F37)-(C37*60+D37)-H37+TRUNC(Info!$D$10*(I37/100)),IF(MID(C37,1,2)="Fl",0,Info!AF71))-Info!AF71)</f>
        <v/>
      </c>
      <c r="H37" s="186">
        <f>IF(AND(Info!$C$46&gt;0,$E37&gt;$C37),Info!$C$46,)</f>
        <v>0</v>
      </c>
      <c r="I37" s="186"/>
      <c r="J37" s="176" t="str">
        <f>" "&amp;Info!AF37</f>
        <v xml:space="preserve"> </v>
      </c>
      <c r="K37" s="323"/>
      <c r="L37" s="338"/>
      <c r="M37" s="327"/>
      <c r="P37" s="243"/>
      <c r="Q37" s="243"/>
      <c r="R37" s="243"/>
      <c r="S37" s="243"/>
      <c r="T37" s="243"/>
      <c r="U37" s="243"/>
      <c r="V37" s="243"/>
      <c r="W37" s="243"/>
      <c r="X37" s="243"/>
      <c r="Y37" s="243"/>
      <c r="Z37" s="243"/>
    </row>
    <row r="38" spans="1:26" x14ac:dyDescent="0.2">
      <c r="G38" s="45"/>
      <c r="H38" s="12"/>
      <c r="I38" s="12"/>
      <c r="K38" s="313">
        <f>SUM(K7:K37)</f>
        <v>0</v>
      </c>
      <c r="L38" s="313">
        <f>SUM(L7:L37)</f>
        <v>0</v>
      </c>
      <c r="M38" s="327"/>
      <c r="N38" s="337">
        <f>SUM(Apr!$K$27:'Apr'!$K35)+SUM($K$7:$K$26)</f>
        <v>0</v>
      </c>
    </row>
    <row r="39" spans="1:26" x14ac:dyDescent="0.2">
      <c r="K39" s="342" t="str">
        <f>ROUNDDOWN(K38/60,1)&amp;" t"</f>
        <v>0 t</v>
      </c>
      <c r="L39" s="96" t="s">
        <v>217</v>
      </c>
      <c r="N39" s="330" t="str">
        <f>ROUNDDOWN(N38/60,1)&amp;" t  i perioden 21."&amp;TEXT(B7-1,"m")&amp;"-20."&amp;TEXT(B7,"m")</f>
        <v>0 t  i perioden 21.4-20.5</v>
      </c>
    </row>
    <row r="40" spans="1:26" x14ac:dyDescent="0.2">
      <c r="B40" s="454" t="s">
        <v>141</v>
      </c>
      <c r="C40" s="455"/>
      <c r="D40" s="455"/>
      <c r="E40" s="456"/>
      <c r="F40" s="208" t="s">
        <v>48</v>
      </c>
      <c r="G40" s="209" t="s">
        <v>49</v>
      </c>
      <c r="H40" s="482" t="s">
        <v>50</v>
      </c>
      <c r="I40" s="460"/>
      <c r="J40" s="14" t="s">
        <v>19</v>
      </c>
      <c r="K40" s="92"/>
      <c r="L40" s="92"/>
    </row>
    <row r="41" spans="1:26" x14ac:dyDescent="0.2">
      <c r="B41" s="191" t="str">
        <f>J$2&amp;":"</f>
        <v>Mai:</v>
      </c>
      <c r="C41" s="1"/>
      <c r="D41" s="1"/>
      <c r="E41" s="40">
        <f>SUM(G$7:G$37)</f>
        <v>0</v>
      </c>
      <c r="F41" s="38">
        <f>TRUNC(E41/60,)</f>
        <v>0</v>
      </c>
      <c r="G41" s="50">
        <f>((E41/60)-F41)*60</f>
        <v>0</v>
      </c>
      <c r="H41" s="471"/>
      <c r="I41" s="472"/>
      <c r="J41" s="15" t="s">
        <v>145</v>
      </c>
      <c r="K41" s="92"/>
      <c r="L41" s="92"/>
    </row>
    <row r="42" spans="1:26" x14ac:dyDescent="0.2">
      <c r="B42" s="192" t="str">
        <f>"Fra "&amp;TEXT(($B$7-1),"mmmm")&amp;":"</f>
        <v>Fra april:</v>
      </c>
      <c r="C42" s="1"/>
      <c r="D42" s="1"/>
      <c r="E42" s="40">
        <f>Apr!$E$42</f>
        <v>0</v>
      </c>
      <c r="F42" s="39">
        <f>TRUNC(E42/60,)</f>
        <v>0</v>
      </c>
      <c r="G42" s="51">
        <f>((E42/60)-F42)*60</f>
        <v>0</v>
      </c>
      <c r="H42" s="473"/>
      <c r="I42" s="474"/>
      <c r="J42" s="15" t="s">
        <v>146</v>
      </c>
      <c r="K42" s="92"/>
      <c r="L42" s="92"/>
    </row>
    <row r="43" spans="1:26" x14ac:dyDescent="0.2">
      <c r="B43" s="210" t="s">
        <v>142</v>
      </c>
      <c r="C43" s="1"/>
      <c r="D43" s="1"/>
      <c r="E43" s="193">
        <f>E41+E42</f>
        <v>0</v>
      </c>
      <c r="F43" s="80">
        <f>TRUNC(E43/60,)</f>
        <v>0</v>
      </c>
      <c r="G43" s="81">
        <f>((E43/60)-F43)*60</f>
        <v>0</v>
      </c>
      <c r="H43" s="457">
        <f>E43/Info!$D$10</f>
        <v>0</v>
      </c>
      <c r="I43" s="451"/>
      <c r="J43" s="213" t="s">
        <v>147</v>
      </c>
      <c r="K43" s="92"/>
      <c r="L43" s="92"/>
    </row>
    <row r="44" spans="1:26" x14ac:dyDescent="0.2">
      <c r="B44" s="454" t="s">
        <v>133</v>
      </c>
      <c r="C44" s="455"/>
      <c r="D44" s="455"/>
      <c r="E44" s="456"/>
      <c r="F44" s="1"/>
      <c r="G44" s="46"/>
      <c r="H44" s="461">
        <f>IF(Info!$C$47="Ja",E43/Info!$D$11,)</f>
        <v>0</v>
      </c>
      <c r="I44" s="461"/>
      <c r="J44" s="17" t="s">
        <v>40</v>
      </c>
      <c r="K44" s="92"/>
      <c r="L44" s="92"/>
    </row>
    <row r="45" spans="1:26" x14ac:dyDescent="0.2">
      <c r="B45" s="191" t="str">
        <f>J$2&amp;":"</f>
        <v>Mai:</v>
      </c>
      <c r="C45" s="194"/>
      <c r="D45" s="195"/>
      <c r="E45" s="196">
        <f>COUNTIF(C$7:C$37,"Fe*")</f>
        <v>0</v>
      </c>
      <c r="G45" s="47"/>
      <c r="H45" s="18"/>
      <c r="I45" s="18"/>
      <c r="J45" s="25"/>
      <c r="K45" s="92"/>
      <c r="L45" s="92"/>
    </row>
    <row r="46" spans="1:26" x14ac:dyDescent="0.2">
      <c r="B46" s="192" t="s">
        <v>143</v>
      </c>
      <c r="C46" s="7"/>
      <c r="D46" s="7"/>
      <c r="E46" s="197">
        <f>Apr!$E$46</f>
        <v>0</v>
      </c>
      <c r="F46" s="10"/>
      <c r="G46" s="48"/>
      <c r="H46" s="19"/>
      <c r="I46" s="19"/>
      <c r="J46" s="26"/>
      <c r="K46" s="92"/>
      <c r="L46" s="92"/>
    </row>
    <row r="47" spans="1:26" x14ac:dyDescent="0.2">
      <c r="B47" s="211" t="s">
        <v>44</v>
      </c>
      <c r="C47" s="198"/>
      <c r="D47" s="198"/>
      <c r="E47" s="199">
        <f>E46-E45</f>
        <v>0</v>
      </c>
      <c r="F47" s="2"/>
      <c r="G47" s="48"/>
      <c r="H47" s="19"/>
      <c r="I47" s="19"/>
      <c r="J47" s="26"/>
      <c r="K47" s="92"/>
      <c r="L47" s="92"/>
    </row>
    <row r="48" spans="1:26" x14ac:dyDescent="0.2">
      <c r="B48" s="454" t="s">
        <v>140</v>
      </c>
      <c r="C48" s="455"/>
      <c r="D48" s="455"/>
      <c r="E48" s="456"/>
      <c r="F48" s="454" t="s">
        <v>87</v>
      </c>
      <c r="G48" s="458"/>
      <c r="H48" s="459"/>
      <c r="I48" s="460"/>
      <c r="K48" s="92"/>
      <c r="L48" s="92"/>
    </row>
    <row r="49" spans="2:12" x14ac:dyDescent="0.2">
      <c r="B49" s="191" t="str">
        <f>J$2&amp;":"</f>
        <v>Mai:</v>
      </c>
      <c r="C49" s="195"/>
      <c r="D49" s="195"/>
      <c r="E49" s="200">
        <f>COUNTIF(C$7:C$37,"S*")</f>
        <v>0</v>
      </c>
      <c r="F49" s="464" t="str">
        <f>IF(E49&gt;0,"- av disse","")</f>
        <v/>
      </c>
      <c r="G49" s="465"/>
      <c r="H49" s="481" t="str">
        <f>IF(E49&gt;0,E49-COUNTIF(C$7:C$37,"s*m*"),"")</f>
        <v/>
      </c>
      <c r="I49" s="480"/>
      <c r="K49" s="92"/>
      <c r="L49" s="92"/>
    </row>
    <row r="50" spans="2:12" x14ac:dyDescent="0.2">
      <c r="B50" s="211" t="str">
        <f>J$1&amp;":"</f>
        <v>2014:</v>
      </c>
      <c r="C50" s="198"/>
      <c r="D50" s="198"/>
      <c r="E50" s="201">
        <f>Apr!$E$49+E49</f>
        <v>0</v>
      </c>
      <c r="F50" s="452" t="s">
        <v>148</v>
      </c>
      <c r="G50" s="453"/>
      <c r="H50" s="450">
        <f>SUM(Info!$I$9:'Info'!$I$15)+SUM(Info!$J$4:'Info'!$J$7)+E49-COUNTIF(C$7:C$37,"s*m*")</f>
        <v>0</v>
      </c>
      <c r="I50" s="451"/>
      <c r="K50" s="92"/>
      <c r="L50" s="92"/>
    </row>
    <row r="51" spans="2:12" x14ac:dyDescent="0.2">
      <c r="B51" s="454" t="s">
        <v>144</v>
      </c>
      <c r="C51" s="455"/>
      <c r="D51" s="455"/>
      <c r="E51" s="456"/>
      <c r="K51" s="92"/>
      <c r="L51" s="92"/>
    </row>
    <row r="52" spans="2:12" x14ac:dyDescent="0.2">
      <c r="B52" s="202" t="str">
        <f>"Sykt barn/-passer i "&amp;LOWER(J$2)&amp;":"</f>
        <v>Sykt barn/-passer i mai:</v>
      </c>
      <c r="C52" s="28"/>
      <c r="D52" s="203"/>
      <c r="E52" s="204">
        <f>COUNTIF(C$7:C$37,"P*b*")</f>
        <v>0</v>
      </c>
      <c r="F52" s="1"/>
      <c r="G52" s="49"/>
      <c r="H52" s="19"/>
      <c r="I52" s="19"/>
      <c r="K52" s="92"/>
      <c r="L52" s="92"/>
    </row>
    <row r="53" spans="2:12" x14ac:dyDescent="0.2">
      <c r="B53" s="205" t="str">
        <f>"Velferdspermisjon i "&amp;LOWER(J$2)&amp;":"</f>
        <v>Velferdspermisjon i mai:</v>
      </c>
      <c r="C53" s="1"/>
      <c r="D53" s="1"/>
      <c r="E53" s="206">
        <f>COUNTIF(C$7:C$37,"P*v*")</f>
        <v>0</v>
      </c>
      <c r="K53" s="92"/>
      <c r="L53" s="92"/>
    </row>
    <row r="54" spans="2:12" x14ac:dyDescent="0.2">
      <c r="B54" s="205" t="str">
        <f>"Annen permisjon i "&amp;LOWER(J$2)&amp;":"</f>
        <v>Annen permisjon i mai:</v>
      </c>
      <c r="C54" s="1"/>
      <c r="D54" s="1"/>
      <c r="E54" s="206">
        <f>COUNTIF(C$7:C$37,"P*a*")</f>
        <v>0</v>
      </c>
      <c r="J54" s="429"/>
      <c r="K54" s="92"/>
      <c r="L54" s="92"/>
    </row>
    <row r="55" spans="2:12" x14ac:dyDescent="0.2">
      <c r="B55" s="212" t="str">
        <f>J$1&amp;":"</f>
        <v>2014:</v>
      </c>
      <c r="C55" s="31"/>
      <c r="D55" s="31"/>
      <c r="E55" s="207">
        <f>Apr!$E$54+SUM(E52:E54)</f>
        <v>0</v>
      </c>
      <c r="J55" s="314" t="s">
        <v>233</v>
      </c>
      <c r="K55" s="92"/>
      <c r="L55" s="92"/>
    </row>
  </sheetData>
  <sheetProtection selectLockedCells="1"/>
  <mergeCells count="16">
    <mergeCell ref="K5:L5"/>
    <mergeCell ref="F49:G49"/>
    <mergeCell ref="F50:G50"/>
    <mergeCell ref="B51:E51"/>
    <mergeCell ref="B40:E40"/>
    <mergeCell ref="B44:E44"/>
    <mergeCell ref="B48:E48"/>
    <mergeCell ref="F48:I48"/>
    <mergeCell ref="H49:I49"/>
    <mergeCell ref="H50:I50"/>
    <mergeCell ref="H43:I43"/>
    <mergeCell ref="H44:I44"/>
    <mergeCell ref="H5:I5"/>
    <mergeCell ref="H40:I40"/>
    <mergeCell ref="H41:I41"/>
    <mergeCell ref="H42:I42"/>
  </mergeCells>
  <phoneticPr fontId="0" type="noConversion"/>
  <conditionalFormatting sqref="C7:F37 H7:I37">
    <cfRule type="expression" dxfId="199" priority="1" stopIfTrue="1">
      <formula>$B7=TODAY()</formula>
    </cfRule>
    <cfRule type="expression" dxfId="198" priority="2" stopIfTrue="1">
      <formula>OR(WEEKDAY($B7,2)&gt;5,LEFT($A7,1)=" ")</formula>
    </cfRule>
  </conditionalFormatting>
  <conditionalFormatting sqref="B24:B37 B8:B22">
    <cfRule type="expression" dxfId="197" priority="3" stopIfTrue="1">
      <formula>AND(B8=TODAY(),OR(WEEKDAY(B8,2)&gt;5,LEFT($A8,1)=" "))</formula>
    </cfRule>
    <cfRule type="expression" dxfId="196" priority="4" stopIfTrue="1">
      <formula>B8=TODAY()</formula>
    </cfRule>
    <cfRule type="expression" dxfId="195" priority="5" stopIfTrue="1">
      <formula>OR(WEEKDAY($B8,2)&gt;5,LEFT($A8,1)=" ")</formula>
    </cfRule>
  </conditionalFormatting>
  <conditionalFormatting sqref="J7:L37">
    <cfRule type="expression" dxfId="194" priority="6" stopIfTrue="1">
      <formula>$B7=TODAY()</formula>
    </cfRule>
    <cfRule type="expression" dxfId="193" priority="7" stopIfTrue="1">
      <formula>OR(WEEKDAY($B7,2)&gt;5,LEFT($A7,1)=" ")</formula>
    </cfRule>
  </conditionalFormatting>
  <conditionalFormatting sqref="A7">
    <cfRule type="expression" dxfId="192" priority="8" stopIfTrue="1">
      <formula>AND((TODAY()-WEEKDAY(TODAY(),2)+7)&gt;=B7,(TODAY()-WEEKDAY(TODAY(),2)&lt;B7))</formula>
    </cfRule>
  </conditionalFormatting>
  <conditionalFormatting sqref="A8:A37">
    <cfRule type="expression" dxfId="191" priority="9" stopIfTrue="1">
      <formula>(TODAY()-WEEKDAY(TODAY(),2)+1)=B8</formula>
    </cfRule>
  </conditionalFormatting>
  <conditionalFormatting sqref="G7:G37">
    <cfRule type="expression" dxfId="190" priority="10" stopIfTrue="1">
      <formula>OR(WEEKDAY($B7,2)&gt;5,LEFT($A7,1)=" ")</formula>
    </cfRule>
  </conditionalFormatting>
  <conditionalFormatting sqref="G6">
    <cfRule type="expression" dxfId="189" priority="11" stopIfTrue="1">
      <formula>AND(H43&gt;-0.99,H43&lt;-0.01)</formula>
    </cfRule>
    <cfRule type="expression" dxfId="188" priority="12" stopIfTrue="1">
      <formula>H43&lt;=-2</formula>
    </cfRule>
    <cfRule type="expression" dxfId="187" priority="13" stopIfTrue="1">
      <formula>AND(H43&gt;-1.99,H43&lt;-1)</formula>
    </cfRule>
  </conditionalFormatting>
  <conditionalFormatting sqref="N2:N6">
    <cfRule type="expression" dxfId="186" priority="32" stopIfTrue="1">
      <formula>MONTH($B$7)=MONTH(TODAY())</formula>
    </cfRule>
  </conditionalFormatting>
  <conditionalFormatting sqref="H50">
    <cfRule type="cellIs" dxfId="185" priority="14" stopIfTrue="1" operator="greaterThan">
      <formula>22</formula>
    </cfRule>
  </conditionalFormatting>
  <conditionalFormatting sqref="H43">
    <cfRule type="cellIs" dxfId="184" priority="15" stopIfTrue="1" operator="between">
      <formula>-0.4</formula>
      <formula>-0.9999999</formula>
    </cfRule>
    <cfRule type="cellIs" dxfId="183" priority="16" stopIfTrue="1" operator="lessThanOrEqual">
      <formula>-2</formula>
    </cfRule>
    <cfRule type="cellIs" dxfId="182" priority="17" stopIfTrue="1" operator="between">
      <formula>-1</formula>
      <formula>-1.99999999</formula>
    </cfRule>
  </conditionalFormatting>
  <conditionalFormatting sqref="B23 B7">
    <cfRule type="expression" dxfId="181" priority="18" stopIfTrue="1">
      <formula>B7=TODAY()</formula>
    </cfRule>
  </conditionalFormatting>
  <conditionalFormatting sqref="K39">
    <cfRule type="expression" dxfId="180" priority="38" stopIfTrue="1">
      <formula>K38&lt;=0</formula>
    </cfRule>
  </conditionalFormatting>
  <conditionalFormatting sqref="L39">
    <cfRule type="expression" dxfId="179" priority="39" stopIfTrue="1">
      <formula>OR(K38&lt;=0,N38&lt;=0)</formula>
    </cfRule>
  </conditionalFormatting>
  <conditionalFormatting sqref="K38:L38">
    <cfRule type="cellIs" dxfId="178" priority="40" stopIfTrue="1" operator="lessThanOrEqual">
      <formula>0</formula>
    </cfRule>
  </conditionalFormatting>
  <conditionalFormatting sqref="N39">
    <cfRule type="expression" dxfId="177" priority="41" stopIfTrue="1">
      <formula>N38&lt;=0</formula>
    </cfRule>
  </conditionalFormatting>
  <pageMargins left="0.78740157480314965" right="0.19685039370078741" top="0.78740157480314965" bottom="0.98425196850393704" header="0.51181102362204722" footer="0.51181102362204722"/>
  <pageSetup paperSize="9" orientation="portrait" r:id="rId1"/>
  <headerFooter alignWithMargins="0">
    <oddFooter>&amp;R&amp;7ghe&amp;G 2011</oddFooter>
  </headerFooter>
  <ignoredErrors>
    <ignoredError sqref="J8:J37 J7 H8:H37 H7" unlockedFormula="1"/>
  </ignoredErrors>
  <drawing r:id="rId2"/>
  <legacyDrawing r:id="rId3"/>
  <legacyDrawingHF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8" enableFormatConditionsCalculation="0">
    <tabColor indexed="50"/>
  </sheetPr>
  <dimension ref="A1:Z55"/>
  <sheetViews>
    <sheetView showGridLines="0" workbookViewId="0">
      <pane ySplit="6" topLeftCell="A7" activePane="bottomLeft" state="frozenSplit"/>
      <selection pane="bottomLeft" activeCell="C7" sqref="C7"/>
    </sheetView>
  </sheetViews>
  <sheetFormatPr baseColWidth="10" defaultColWidth="9.140625" defaultRowHeight="12.75" x14ac:dyDescent="0.2"/>
  <cols>
    <col min="1" max="1" width="2.7109375" style="149" customWidth="1"/>
    <col min="2" max="2" width="7.5703125" customWidth="1"/>
    <col min="3" max="5" width="9.140625" customWidth="1"/>
    <col min="6" max="6" width="8.5703125" customWidth="1"/>
    <col min="7" max="7" width="7.140625" style="41" customWidth="1"/>
    <col min="8" max="8" width="5" style="8" customWidth="1"/>
    <col min="9" max="9" width="3.42578125" style="8" customWidth="1"/>
    <col min="10" max="10" width="31.42578125" style="10" customWidth="1"/>
    <col min="11" max="12" width="4.7109375" customWidth="1"/>
    <col min="13" max="13" width="1.85546875" style="92" customWidth="1"/>
    <col min="14" max="14" width="20.28515625" customWidth="1"/>
    <col min="15" max="15" width="2" customWidth="1"/>
    <col min="16" max="16" width="9.42578125" style="244" customWidth="1"/>
    <col min="17" max="26" width="9.140625" style="244"/>
  </cols>
  <sheetData>
    <row r="1" spans="1:26" s="92" customFormat="1" x14ac:dyDescent="0.2">
      <c r="A1" s="133"/>
      <c r="G1" s="347"/>
      <c r="H1" s="348"/>
      <c r="I1" s="348"/>
      <c r="J1" s="349">
        <f>Info!$E$1</f>
        <v>2014</v>
      </c>
      <c r="N1" s="325"/>
    </row>
    <row r="2" spans="1:26" s="92" customFormat="1" ht="23.25" x14ac:dyDescent="0.35">
      <c r="A2" s="350"/>
      <c r="B2" s="392"/>
      <c r="C2" s="392"/>
      <c r="D2" s="393"/>
      <c r="E2" s="393"/>
      <c r="F2" s="394" t="str">
        <f>Info!C41</f>
        <v>Fleksitid</v>
      </c>
      <c r="G2" s="395"/>
      <c r="H2" s="396"/>
      <c r="I2" s="396"/>
      <c r="J2" s="397" t="s">
        <v>15</v>
      </c>
      <c r="N2" s="325"/>
    </row>
    <row r="3" spans="1:26" s="92" customFormat="1" ht="17.25" customHeight="1" x14ac:dyDescent="0.2">
      <c r="A3" s="133"/>
      <c r="B3" s="356"/>
      <c r="C3" s="357"/>
      <c r="D3" s="358"/>
      <c r="E3" s="359"/>
      <c r="F3" s="360">
        <f>Info!$C$5</f>
        <v>0</v>
      </c>
      <c r="G3" s="361"/>
      <c r="H3" s="362"/>
      <c r="I3" s="362"/>
      <c r="J3" s="314"/>
      <c r="N3" s="325"/>
    </row>
    <row r="4" spans="1:26" s="92" customFormat="1" ht="15" customHeight="1" thickBot="1" x14ac:dyDescent="0.25">
      <c r="A4" s="133"/>
      <c r="B4" s="363"/>
      <c r="C4" s="364"/>
      <c r="D4" s="365"/>
      <c r="E4" s="366"/>
      <c r="F4" s="367">
        <f>Info!$C$6</f>
        <v>0</v>
      </c>
      <c r="G4" s="368"/>
      <c r="H4" s="366"/>
      <c r="I4" s="366"/>
      <c r="J4" s="365"/>
      <c r="N4" s="325"/>
    </row>
    <row r="5" spans="1:26" x14ac:dyDescent="0.2">
      <c r="B5" s="3"/>
      <c r="C5" s="4" t="s">
        <v>0</v>
      </c>
      <c r="D5" s="4"/>
      <c r="E5" s="4" t="s">
        <v>1</v>
      </c>
      <c r="F5" s="4"/>
      <c r="G5" s="42"/>
      <c r="H5" s="468" t="s">
        <v>208</v>
      </c>
      <c r="I5" s="469"/>
      <c r="J5" s="9" t="s">
        <v>6</v>
      </c>
      <c r="K5" s="462" t="s">
        <v>216</v>
      </c>
      <c r="L5" s="463"/>
      <c r="M5" s="326"/>
      <c r="N5" s="11"/>
    </row>
    <row r="6" spans="1:26" ht="13.5" thickBot="1" x14ac:dyDescent="0.25">
      <c r="B6" s="5" t="s">
        <v>2</v>
      </c>
      <c r="C6" s="6" t="s">
        <v>3</v>
      </c>
      <c r="D6" s="6" t="s">
        <v>4</v>
      </c>
      <c r="E6" s="6" t="s">
        <v>3</v>
      </c>
      <c r="F6" s="6" t="s">
        <v>4</v>
      </c>
      <c r="G6" s="188" t="s">
        <v>139</v>
      </c>
      <c r="H6" s="6" t="s">
        <v>4</v>
      </c>
      <c r="I6" s="308" t="s">
        <v>207</v>
      </c>
      <c r="J6" s="172" t="str">
        <f>"Fleksi"&amp;IF(E42&lt;Info!D10,"tid: "&amp;IF(E42&lt;0,"-","")&amp;ABS(F42)&amp;":"&amp;ABS(ROUND(G42,)),"dager: "&amp;ROUND(H$42,1)&amp;IF(Info!C47="Ja"," ("&amp;ROUND(H$43,1)&amp;")",""))&amp;"   Ferie: "&amp;E$46</f>
        <v>Fleksitid: 0:0   Ferie: 0</v>
      </c>
      <c r="K6" s="320" t="s">
        <v>4</v>
      </c>
      <c r="L6" s="322" t="s">
        <v>215</v>
      </c>
      <c r="M6" s="133"/>
      <c r="N6" s="11"/>
    </row>
    <row r="7" spans="1:26" s="11" customFormat="1" x14ac:dyDescent="0.2">
      <c r="A7" s="157" t="str">
        <f>IF(AND(WEEKDAY($B7,2)&lt;&gt;3,VLOOKUP($B7,Info!$AO$7:$AO$17,1)=$B7)," ","")&amp;IF(WEEKDAY(B7,2)&lt;6,INT((B7-(DATE(YEAR(B7+(MOD(8-WEEKDAY(B7),7)-3)),1,1))-3+
MOD(WEEKDAY(DATE(YEAR(B7+(MOD(8-WEEKDAY(B7),7)-3)),1,1))+1,7))/7)+1,"")</f>
        <v/>
      </c>
      <c r="B7" s="68">
        <f>DATE(Info!$E$1,6,1)</f>
        <v>41791</v>
      </c>
      <c r="C7" s="59"/>
      <c r="D7" s="59"/>
      <c r="E7" s="59"/>
      <c r="F7" s="59"/>
      <c r="G7" s="216" t="str">
        <f>IF(AND(OR(WEEKDAY(B7,2)&gt;5,LEFT(A7,1)=" "),$C7=""),"",IF(E7&gt;0,(E7*60+F7)-(C7*60+D7)-H7+TRUNC(Info!$D$10*(I7/100)),IF(MID(C7,1,2)="Fl",0,Info!AG41))-Info!AG41)</f>
        <v/>
      </c>
      <c r="H7" s="185">
        <f>IF(AND(Info!$C$46&gt;0,$E7&gt;$C7),Info!$C$46,)</f>
        <v>0</v>
      </c>
      <c r="I7" s="185"/>
      <c r="J7" s="175" t="str">
        <f>" "&amp;Info!AG7</f>
        <v xml:space="preserve"> </v>
      </c>
      <c r="K7" s="323"/>
      <c r="L7" s="338"/>
      <c r="M7" s="327"/>
      <c r="P7" s="243"/>
      <c r="Q7" s="243"/>
      <c r="R7" s="243"/>
      <c r="S7" s="243"/>
      <c r="T7" s="243"/>
      <c r="U7" s="243"/>
      <c r="V7" s="243"/>
      <c r="W7" s="243"/>
      <c r="X7" s="243"/>
      <c r="Y7" s="243"/>
      <c r="Z7" s="243"/>
    </row>
    <row r="8" spans="1:26" s="11" customFormat="1" x14ac:dyDescent="0.2">
      <c r="A8" s="157" t="str">
        <f>IF(AND(WEEKDAY($B8,2)&lt;&gt;3,VLOOKUP($B8,Info!$AO$7:$AO$17,1)=$B8)," ","")&amp;IF(WEEKDAY(B8,2)=1,INT((B8-(DATE(YEAR(B8+(MOD(8-WEEKDAY(B8),7)-3)),1,1))-3+
MOD(WEEKDAY(DATE(YEAR(B8+(MOD(8-WEEKDAY(B8),7)-3)),1,1))+1,7))/7)+1,"")</f>
        <v>23</v>
      </c>
      <c r="B8" s="68">
        <f t="shared" ref="B8:B36" si="0">B7+1</f>
        <v>41792</v>
      </c>
      <c r="C8" s="59"/>
      <c r="D8" s="59"/>
      <c r="E8" s="59"/>
      <c r="F8" s="59"/>
      <c r="G8" s="216">
        <f>IF(AND(OR(WEEKDAY(B8,2)&gt;5,LEFT(A8,1)=" "),$C8=""),"",IF(E8&gt;0,(E8*60+F8)-(C8*60+D8)-H8+TRUNC(Info!$D$10*(I8/100)),IF(MID(C8,1,2)="Fl",0,Info!AG42))-Info!AG42)</f>
        <v>0</v>
      </c>
      <c r="H8" s="185">
        <f>IF(AND(Info!$C$46&gt;0,$E8&gt;$C8),Info!$C$46,)</f>
        <v>0</v>
      </c>
      <c r="I8" s="185"/>
      <c r="J8" s="175" t="str">
        <f>" "&amp;Info!AG8</f>
        <v xml:space="preserve"> </v>
      </c>
      <c r="K8" s="323"/>
      <c r="L8" s="338"/>
      <c r="M8" s="327"/>
      <c r="P8" s="243"/>
      <c r="Q8" s="243"/>
      <c r="R8" s="243"/>
      <c r="S8" s="243"/>
      <c r="T8" s="243"/>
      <c r="U8" s="243"/>
      <c r="V8" s="243"/>
      <c r="W8" s="243"/>
      <c r="X8" s="243"/>
      <c r="Y8" s="243"/>
      <c r="Z8" s="243"/>
    </row>
    <row r="9" spans="1:26" s="11" customFormat="1" x14ac:dyDescent="0.2">
      <c r="A9" s="157" t="str">
        <f>IF(AND(WEEKDAY($B9,2)&lt;&gt;3,VLOOKUP($B9,Info!$AO$7:$AO$17,1)=$B9)," ","")&amp;IF(WEEKDAY(B9,2)=1,INT((B9-(DATE(YEAR(B9+(MOD(8-WEEKDAY(B9),7)-3)),1,1))-3+
MOD(WEEKDAY(DATE(YEAR(B9+(MOD(8-WEEKDAY(B9),7)-3)),1,1))+1,7))/7)+1,"")</f>
        <v/>
      </c>
      <c r="B9" s="68">
        <f t="shared" si="0"/>
        <v>41793</v>
      </c>
      <c r="C9" s="59"/>
      <c r="D9" s="59"/>
      <c r="E9" s="59"/>
      <c r="F9" s="59"/>
      <c r="G9" s="216">
        <f>IF(AND(OR(WEEKDAY(B9,2)&gt;5,LEFT(A9,1)=" "),$C9=""),"",IF(E9&gt;0,(E9*60+F9)-(C9*60+D9)-H9+TRUNC(Info!$D$10*(I9/100)),IF(MID(C9,1,2)="Fl",0,Info!AG43))-Info!AG43)</f>
        <v>0</v>
      </c>
      <c r="H9" s="185">
        <f>IF(AND(Info!$C$46&gt;0,$E9&gt;$C9),Info!$C$46,)</f>
        <v>0</v>
      </c>
      <c r="I9" s="185"/>
      <c r="J9" s="175" t="str">
        <f>" "&amp;Info!AG9</f>
        <v xml:space="preserve"> </v>
      </c>
      <c r="K9" s="323"/>
      <c r="L9" s="338"/>
      <c r="M9" s="327"/>
      <c r="P9" s="243"/>
      <c r="Q9" s="243"/>
      <c r="R9" s="243"/>
      <c r="S9" s="243"/>
      <c r="T9" s="243"/>
      <c r="U9" s="243"/>
      <c r="V9" s="243"/>
      <c r="W9" s="243"/>
      <c r="X9" s="243"/>
      <c r="Y9" s="243"/>
      <c r="Z9" s="243"/>
    </row>
    <row r="10" spans="1:26" s="11" customFormat="1" x14ac:dyDescent="0.2">
      <c r="A10" s="157" t="str">
        <f>IF(AND(WEEKDAY($B10,2)&lt;&gt;3,VLOOKUP($B10,Info!$AO$7:$AO$17,1)=$B10)," ","")&amp;IF(WEEKDAY(B10,2)=1,INT((B10-(DATE(YEAR(B10+(MOD(8-WEEKDAY(B10),7)-3)),1,1))-3+
MOD(WEEKDAY(DATE(YEAR(B10+(MOD(8-WEEKDAY(B10),7)-3)),1,1))+1,7))/7)+1,"")</f>
        <v/>
      </c>
      <c r="B10" s="68">
        <f t="shared" si="0"/>
        <v>41794</v>
      </c>
      <c r="C10" s="59"/>
      <c r="D10" s="59"/>
      <c r="E10" s="59"/>
      <c r="F10" s="59"/>
      <c r="G10" s="216">
        <f>IF(AND(OR(WEEKDAY(B10,2)&gt;5,LEFT(A10,1)=" "),$C10=""),"",IF(E10&gt;0,(E10*60+F10)-(C10*60+D10)-H10+TRUNC(Info!$D$10*(I10/100)),IF(MID(C10,1,2)="Fl",0,Info!AG44))-Info!AG44)</f>
        <v>0</v>
      </c>
      <c r="H10" s="185">
        <f>IF(AND(Info!$C$46&gt;0,$E10&gt;$C10),Info!$C$46,)</f>
        <v>0</v>
      </c>
      <c r="I10" s="185"/>
      <c r="J10" s="175" t="str">
        <f>" "&amp;Info!AG10</f>
        <v xml:space="preserve"> </v>
      </c>
      <c r="K10" s="323"/>
      <c r="L10" s="338"/>
      <c r="M10" s="327"/>
      <c r="P10" s="243"/>
      <c r="Q10" s="243"/>
      <c r="R10" s="243"/>
      <c r="S10" s="243"/>
      <c r="T10" s="243"/>
      <c r="U10" s="243"/>
      <c r="V10" s="243"/>
      <c r="W10" s="243"/>
      <c r="X10" s="243"/>
      <c r="Y10" s="243"/>
      <c r="Z10" s="243"/>
    </row>
    <row r="11" spans="1:26" s="11" customFormat="1" x14ac:dyDescent="0.2">
      <c r="A11" s="157" t="str">
        <f>IF(AND(WEEKDAY($B11,2)&lt;&gt;3,VLOOKUP($B11,Info!$AO$7:$AO$17,1)=$B11)," ","")&amp;IF(WEEKDAY(B11,2)=1,INT((B11-(DATE(YEAR(B11+(MOD(8-WEEKDAY(B11),7)-3)),1,1))-3+
MOD(WEEKDAY(DATE(YEAR(B11+(MOD(8-WEEKDAY(B11),7)-3)),1,1))+1,7))/7)+1,"")</f>
        <v/>
      </c>
      <c r="B11" s="68">
        <f t="shared" si="0"/>
        <v>41795</v>
      </c>
      <c r="C11" s="59"/>
      <c r="D11" s="59"/>
      <c r="E11" s="59"/>
      <c r="F11" s="59"/>
      <c r="G11" s="216">
        <f>IF(AND(OR(WEEKDAY(B11,2)&gt;5,LEFT(A11,1)=" "),$C11=""),"",IF(E11&gt;0,(E11*60+F11)-(C11*60+D11)-H11+TRUNC(Info!$D$10*(I11/100)),IF(MID(C11,1,2)="Fl",0,Info!AG45))-Info!AG45)</f>
        <v>0</v>
      </c>
      <c r="H11" s="185">
        <f>IF(AND(Info!$C$46&gt;0,$E11&gt;$C11),Info!$C$46,)</f>
        <v>0</v>
      </c>
      <c r="I11" s="185"/>
      <c r="J11" s="175" t="str">
        <f>" "&amp;Info!AG11</f>
        <v xml:space="preserve"> Nasjonaldag Danmark</v>
      </c>
      <c r="K11" s="323"/>
      <c r="L11" s="338"/>
      <c r="M11" s="328"/>
      <c r="P11" s="243"/>
      <c r="Q11" s="243"/>
      <c r="R11" s="243"/>
      <c r="S11" s="243"/>
      <c r="T11" s="243"/>
      <c r="U11" s="243"/>
      <c r="V11" s="243"/>
      <c r="W11" s="243"/>
      <c r="X11" s="243"/>
      <c r="Y11" s="243"/>
      <c r="Z11" s="243"/>
    </row>
    <row r="12" spans="1:26" x14ac:dyDescent="0.2">
      <c r="A12" s="157" t="str">
        <f>IF(AND(WEEKDAY($B12,2)&lt;&gt;3,VLOOKUP($B12,Info!$AO$7:$AO$17,1)=$B12)," ","")&amp;IF(WEEKDAY(B12,2)=1,INT((B12-(DATE(YEAR(B12+(MOD(8-WEEKDAY(B12),7)-3)),1,1))-3+
MOD(WEEKDAY(DATE(YEAR(B12+(MOD(8-WEEKDAY(B12),7)-3)),1,1))+1,7))/7)+1,"")</f>
        <v/>
      </c>
      <c r="B12" s="68">
        <f t="shared" si="0"/>
        <v>41796</v>
      </c>
      <c r="C12" s="59"/>
      <c r="D12" s="59"/>
      <c r="E12" s="59"/>
      <c r="F12" s="59"/>
      <c r="G12" s="216">
        <f>IF(AND(OR(WEEKDAY(B12,2)&gt;5,LEFT(A12,1)=" "),$C12=""),"",IF(E12&gt;0,(E12*60+F12)-(C12*60+D12)-H12+TRUNC(Info!$D$10*(I12/100)),IF(MID(C12,1,2)="Fl",0,Info!AG46))-Info!AG46)</f>
        <v>0</v>
      </c>
      <c r="H12" s="185">
        <f>IF(AND(Info!$C$46&gt;0,$E12&gt;$C12),Info!$C$46,)</f>
        <v>0</v>
      </c>
      <c r="I12" s="185"/>
      <c r="J12" s="175" t="str">
        <f>" "&amp;Info!AG12</f>
        <v xml:space="preserve"> Flaggans dag Sverige</v>
      </c>
      <c r="K12" s="323"/>
      <c r="L12" s="338"/>
      <c r="M12" s="140"/>
    </row>
    <row r="13" spans="1:26" s="11" customFormat="1" x14ac:dyDescent="0.2">
      <c r="A13" s="157" t="str">
        <f>IF(AND(WEEKDAY($B13,2)&lt;&gt;3,VLOOKUP($B13,Info!$AO$7:$AO$17,1)=$B13)," ","")&amp;IF(WEEKDAY(B13,2)=1,INT((B13-(DATE(YEAR(B13+(MOD(8-WEEKDAY(B13),7)-3)),1,1))-3+
MOD(WEEKDAY(DATE(YEAR(B13+(MOD(8-WEEKDAY(B13),7)-3)),1,1))+1,7))/7)+1,"")</f>
        <v/>
      </c>
      <c r="B13" s="68">
        <f t="shared" si="0"/>
        <v>41797</v>
      </c>
      <c r="C13" s="59"/>
      <c r="D13" s="59"/>
      <c r="E13" s="59"/>
      <c r="F13" s="59"/>
      <c r="G13" s="216" t="str">
        <f>IF(AND(OR(WEEKDAY(B13,2)&gt;5,LEFT(A13,1)=" "),$C13=""),"",IF(E13&gt;0,(E13*60+F13)-(C13*60+D13)-H13+TRUNC(Info!$D$10*(I13/100)),IF(MID(C13,1,2)="Fl",0,Info!AG47))-Info!AG47)</f>
        <v/>
      </c>
      <c r="H13" s="185">
        <f>IF(AND(Info!$C$46&gt;0,$E13&gt;$C13),Info!$C$46,)</f>
        <v>0</v>
      </c>
      <c r="I13" s="185"/>
      <c r="J13" s="175" t="str">
        <f>" "&amp;Info!AG13</f>
        <v xml:space="preserve"> Unionsoppløsning</v>
      </c>
      <c r="K13" s="323"/>
      <c r="L13" s="338"/>
      <c r="M13" s="327"/>
      <c r="P13" s="243"/>
      <c r="Q13" s="243"/>
      <c r="R13" s="243"/>
      <c r="S13" s="243"/>
      <c r="T13" s="243"/>
      <c r="U13" s="243"/>
      <c r="V13" s="243"/>
      <c r="W13" s="243"/>
      <c r="X13" s="243"/>
      <c r="Y13" s="243"/>
      <c r="Z13" s="243"/>
    </row>
    <row r="14" spans="1:26" s="11" customFormat="1" x14ac:dyDescent="0.2">
      <c r="A14" s="157" t="str">
        <f>IF(AND(WEEKDAY($B14,2)&lt;&gt;3,VLOOKUP($B14,Info!$AO$7:$AO$17,1)=$B14)," ","")&amp;IF(WEEKDAY(B14,2)=1,INT((B14-(DATE(YEAR(B14+(MOD(8-WEEKDAY(B14),7)-3)),1,1))-3+
MOD(WEEKDAY(DATE(YEAR(B14+(MOD(8-WEEKDAY(B14),7)-3)),1,1))+1,7))/7)+1,"")</f>
        <v xml:space="preserve"> </v>
      </c>
      <c r="B14" s="68">
        <f t="shared" si="0"/>
        <v>41798</v>
      </c>
      <c r="C14" s="59"/>
      <c r="D14" s="59"/>
      <c r="E14" s="59"/>
      <c r="F14" s="59"/>
      <c r="G14" s="216" t="str">
        <f>IF(AND(OR(WEEKDAY(B14,2)&gt;5,LEFT(A14,1)=" "),$C14=""),"",IF(E14&gt;0,(E14*60+F14)-(C14*60+D14)-H14+TRUNC(Info!$D$10*(I14/100)),IF(MID(C14,1,2)="Fl",0,Info!AG48))-Info!AG48)</f>
        <v/>
      </c>
      <c r="H14" s="185">
        <f>IF(AND(Info!$C$46&gt;0,$E14&gt;$C14),Info!$C$46,)</f>
        <v>0</v>
      </c>
      <c r="I14" s="185"/>
      <c r="J14" s="175" t="str">
        <f>" "&amp;Info!AG14</f>
        <v xml:space="preserve"> 1. pinsedag</v>
      </c>
      <c r="K14" s="323"/>
      <c r="L14" s="338"/>
      <c r="M14" s="327"/>
      <c r="P14" s="243"/>
      <c r="Q14" s="243"/>
      <c r="R14" s="243"/>
      <c r="S14" s="243"/>
      <c r="T14" s="243"/>
      <c r="U14" s="243"/>
      <c r="V14" s="243"/>
      <c r="W14" s="243"/>
      <c r="X14" s="243"/>
      <c r="Y14" s="243"/>
      <c r="Z14" s="243"/>
    </row>
    <row r="15" spans="1:26" s="11" customFormat="1" x14ac:dyDescent="0.2">
      <c r="A15" s="157" t="str">
        <f>IF(AND(WEEKDAY($B15,2)&lt;&gt;3,VLOOKUP($B15,Info!$AO$7:$AO$17,1)=$B15)," ","")&amp;IF(WEEKDAY(B15,2)=1,INT((B15-(DATE(YEAR(B15+(MOD(8-WEEKDAY(B15),7)-3)),1,1))-3+
MOD(WEEKDAY(DATE(YEAR(B15+(MOD(8-WEEKDAY(B15),7)-3)),1,1))+1,7))/7)+1,"")</f>
        <v xml:space="preserve"> 24</v>
      </c>
      <c r="B15" s="68">
        <f t="shared" si="0"/>
        <v>41799</v>
      </c>
      <c r="C15" s="59"/>
      <c r="D15" s="59"/>
      <c r="E15" s="59"/>
      <c r="F15" s="59"/>
      <c r="G15" s="216" t="str">
        <f>IF(AND(OR(WEEKDAY(B15,2)&gt;5,LEFT(A15,1)=" "),$C15=""),"",IF(E15&gt;0,(E15*60+F15)-(C15*60+D15)-H15+TRUNC(Info!$D$10*(I15/100)),IF(MID(C15,1,2)="Fl",0,Info!AG49))-Info!AG49)</f>
        <v/>
      </c>
      <c r="H15" s="185">
        <f>IF(AND(Info!$C$46&gt;0,$E15&gt;$C15),Info!$C$46,)</f>
        <v>0</v>
      </c>
      <c r="I15" s="185"/>
      <c r="J15" s="175" t="str">
        <f>" "&amp;Info!AG15</f>
        <v xml:space="preserve"> 2. pinsedag</v>
      </c>
      <c r="K15" s="323"/>
      <c r="L15" s="338"/>
      <c r="M15" s="327"/>
      <c r="P15" s="243"/>
      <c r="Q15" s="243"/>
      <c r="R15" s="243"/>
      <c r="S15" s="243"/>
      <c r="T15" s="243"/>
      <c r="U15" s="243"/>
      <c r="V15" s="243"/>
      <c r="W15" s="243"/>
      <c r="X15" s="243"/>
      <c r="Y15" s="243"/>
      <c r="Z15" s="243"/>
    </row>
    <row r="16" spans="1:26" s="11" customFormat="1" x14ac:dyDescent="0.2">
      <c r="A16" s="157" t="str">
        <f>IF(AND(WEEKDAY($B16,2)&lt;&gt;3,VLOOKUP($B16,Info!$AO$7:$AO$17,1)=$B16)," ","")&amp;IF(WEEKDAY(B16,2)=1,INT((B16-(DATE(YEAR(B16+(MOD(8-WEEKDAY(B16),7)-3)),1,1))-3+
MOD(WEEKDAY(DATE(YEAR(B16+(MOD(8-WEEKDAY(B16),7)-3)),1,1))+1,7))/7)+1,"")</f>
        <v/>
      </c>
      <c r="B16" s="68">
        <f t="shared" si="0"/>
        <v>41800</v>
      </c>
      <c r="C16" s="59"/>
      <c r="D16" s="59"/>
      <c r="E16" s="59"/>
      <c r="F16" s="59"/>
      <c r="G16" s="216">
        <f>IF(AND(OR(WEEKDAY(B16,2)&gt;5,LEFT(A16,1)=" "),$C16=""),"",IF(E16&gt;0,(E16*60+F16)-(C16*60+D16)-H16+TRUNC(Info!$D$10*(I16/100)),IF(MID(C16,1,2)="Fl",0,Info!AG50))-Info!AG50)</f>
        <v>0</v>
      </c>
      <c r="H16" s="185">
        <f>IF(AND(Info!$C$46&gt;0,$E16&gt;$C16),Info!$C$46,)</f>
        <v>0</v>
      </c>
      <c r="I16" s="185"/>
      <c r="J16" s="175" t="str">
        <f>" "&amp;Info!AG16</f>
        <v xml:space="preserve"> </v>
      </c>
      <c r="K16" s="323"/>
      <c r="L16" s="338"/>
      <c r="M16" s="327"/>
      <c r="P16" s="243"/>
      <c r="Q16" s="243"/>
      <c r="R16" s="243"/>
      <c r="S16" s="243"/>
      <c r="T16" s="243"/>
      <c r="U16" s="243"/>
      <c r="V16" s="243"/>
      <c r="W16" s="243"/>
      <c r="X16" s="243"/>
      <c r="Y16" s="243"/>
      <c r="Z16" s="243"/>
    </row>
    <row r="17" spans="1:26" s="11" customFormat="1" x14ac:dyDescent="0.2">
      <c r="A17" s="157" t="str">
        <f>IF(AND(WEEKDAY($B17,2)&lt;&gt;3,VLOOKUP($B17,Info!$AO$7:$AO$17,1)=$B17)," ","")&amp;IF(WEEKDAY(B17,2)=1,INT((B17-(DATE(YEAR(B17+(MOD(8-WEEKDAY(B17),7)-3)),1,1))-3+
MOD(WEEKDAY(DATE(YEAR(B17+(MOD(8-WEEKDAY(B17),7)-3)),1,1))+1,7))/7)+1,"")</f>
        <v/>
      </c>
      <c r="B17" s="68">
        <f t="shared" si="0"/>
        <v>41801</v>
      </c>
      <c r="C17" s="59"/>
      <c r="D17" s="59"/>
      <c r="E17" s="59"/>
      <c r="F17" s="59"/>
      <c r="G17" s="216">
        <f>IF(AND(OR(WEEKDAY(B17,2)&gt;5,LEFT(A17,1)=" "),$C17=""),"",IF(E17&gt;0,(E17*60+F17)-(C17*60+D17)-H17+TRUNC(Info!$D$10*(I17/100)),IF(MID(C17,1,2)="Fl",0,Info!AG51))-Info!AG51)</f>
        <v>0</v>
      </c>
      <c r="H17" s="185">
        <f>IF(AND(Info!$C$46&gt;0,$E17&gt;$C17),Info!$C$46,)</f>
        <v>0</v>
      </c>
      <c r="I17" s="185"/>
      <c r="J17" s="175" t="str">
        <f>" "&amp;Info!AG17</f>
        <v xml:space="preserve"> </v>
      </c>
      <c r="K17" s="323"/>
      <c r="L17" s="338"/>
      <c r="M17" s="327"/>
      <c r="P17" s="243"/>
      <c r="Q17" s="243"/>
      <c r="R17" s="243"/>
      <c r="S17" s="243"/>
      <c r="T17" s="243"/>
      <c r="U17" s="243"/>
      <c r="V17" s="243"/>
      <c r="W17" s="243"/>
      <c r="X17" s="243"/>
      <c r="Y17" s="243"/>
      <c r="Z17" s="243"/>
    </row>
    <row r="18" spans="1:26" s="11" customFormat="1" x14ac:dyDescent="0.2">
      <c r="A18" s="157" t="str">
        <f>IF(AND(WEEKDAY($B18,2)&lt;&gt;3,VLOOKUP($B18,Info!$AO$7:$AO$17,1)=$B18)," ","")&amp;IF(WEEKDAY(B18,2)=1,INT((B18-(DATE(YEAR(B18+(MOD(8-WEEKDAY(B18),7)-3)),1,1))-3+
MOD(WEEKDAY(DATE(YEAR(B18+(MOD(8-WEEKDAY(B18),7)-3)),1,1))+1,7))/7)+1,"")</f>
        <v/>
      </c>
      <c r="B18" s="68">
        <f t="shared" si="0"/>
        <v>41802</v>
      </c>
      <c r="C18" s="59"/>
      <c r="D18" s="59"/>
      <c r="E18" s="59"/>
      <c r="F18" s="59"/>
      <c r="G18" s="216">
        <f>IF(AND(OR(WEEKDAY(B18,2)&gt;5,LEFT(A18,1)=" "),$C18=""),"",IF(E18&gt;0,(E18*60+F18)-(C18*60+D18)-H18+TRUNC(Info!$D$10*(I18/100)),IF(MID(C18,1,2)="Fl",0,Info!AG52))-Info!AG52)</f>
        <v>0</v>
      </c>
      <c r="H18" s="185">
        <f>IF(AND(Info!$C$46&gt;0,$E18&gt;$C18),Info!$C$46,)</f>
        <v>0</v>
      </c>
      <c r="I18" s="185"/>
      <c r="J18" s="175" t="str">
        <f>" "&amp;Info!AG18</f>
        <v xml:space="preserve"> </v>
      </c>
      <c r="K18" s="323"/>
      <c r="L18" s="338"/>
      <c r="M18" s="327"/>
      <c r="P18" s="243"/>
      <c r="Q18" s="243"/>
      <c r="R18" s="243"/>
      <c r="S18" s="243"/>
      <c r="T18" s="243"/>
      <c r="U18" s="243"/>
      <c r="V18" s="243"/>
      <c r="W18" s="243"/>
      <c r="X18" s="243"/>
      <c r="Y18" s="243"/>
      <c r="Z18" s="243"/>
    </row>
    <row r="19" spans="1:26" s="11" customFormat="1" x14ac:dyDescent="0.2">
      <c r="A19" s="157" t="str">
        <f>IF(AND(WEEKDAY($B19,2)&lt;&gt;3,VLOOKUP($B19,Info!$AO$7:$AO$17,1)=$B19)," ","")&amp;IF(WEEKDAY(B19,2)=1,INT((B19-(DATE(YEAR(B19+(MOD(8-WEEKDAY(B19),7)-3)),1,1))-3+
MOD(WEEKDAY(DATE(YEAR(B19+(MOD(8-WEEKDAY(B19),7)-3)),1,1))+1,7))/7)+1,"")</f>
        <v/>
      </c>
      <c r="B19" s="68">
        <f t="shared" si="0"/>
        <v>41803</v>
      </c>
      <c r="C19" s="59"/>
      <c r="D19" s="59"/>
      <c r="E19" s="59"/>
      <c r="F19" s="59"/>
      <c r="G19" s="216">
        <f>IF(AND(OR(WEEKDAY(B19,2)&gt;5,LEFT(A19,1)=" "),$C19=""),"",IF(E19&gt;0,(E19*60+F19)-(C19*60+D19)-H19+TRUNC(Info!$D$10*(I19/100)),IF(MID(C19,1,2)="Fl",0,Info!AG53))-Info!AG53)</f>
        <v>0</v>
      </c>
      <c r="H19" s="185">
        <f>IF(AND(Info!$C$46&gt;0,$E19&gt;$C19),Info!$C$46,)</f>
        <v>0</v>
      </c>
      <c r="I19" s="185"/>
      <c r="J19" s="175" t="str">
        <f>" "&amp;Info!AG19</f>
        <v xml:space="preserve"> </v>
      </c>
      <c r="K19" s="323"/>
      <c r="L19" s="338"/>
      <c r="M19" s="327"/>
      <c r="P19" s="243"/>
      <c r="Q19" s="243"/>
      <c r="R19" s="243"/>
      <c r="S19" s="243"/>
      <c r="T19" s="243"/>
      <c r="U19" s="243"/>
      <c r="V19" s="243"/>
      <c r="W19" s="243"/>
      <c r="X19" s="243"/>
      <c r="Y19" s="243"/>
      <c r="Z19" s="243"/>
    </row>
    <row r="20" spans="1:26" s="11" customFormat="1" x14ac:dyDescent="0.2">
      <c r="A20" s="157" t="str">
        <f>IF(AND(WEEKDAY($B20,2)&lt;&gt;3,VLOOKUP($B20,Info!$AO$7:$AO$17,1)=$B20)," ","")&amp;IF(WEEKDAY(B20,2)=1,INT((B20-(DATE(YEAR(B20+(MOD(8-WEEKDAY(B20),7)-3)),1,1))-3+
MOD(WEEKDAY(DATE(YEAR(B20+(MOD(8-WEEKDAY(B20),7)-3)),1,1))+1,7))/7)+1,"")</f>
        <v/>
      </c>
      <c r="B20" s="68">
        <f t="shared" si="0"/>
        <v>41804</v>
      </c>
      <c r="C20" s="59"/>
      <c r="D20" s="59"/>
      <c r="E20" s="59"/>
      <c r="F20" s="59"/>
      <c r="G20" s="216" t="str">
        <f>IF(AND(OR(WEEKDAY(B20,2)&gt;5,LEFT(A20,1)=" "),$C20=""),"",IF(E20&gt;0,(E20*60+F20)-(C20*60+D20)-H20+TRUNC(Info!$D$10*(I20/100)),IF(MID(C20,1,2)="Fl",0,Info!AG54))-Info!AG54)</f>
        <v/>
      </c>
      <c r="H20" s="185">
        <f>IF(AND(Info!$C$46&gt;0,$E20&gt;$C20),Info!$C$46,)</f>
        <v>0</v>
      </c>
      <c r="I20" s="185"/>
      <c r="J20" s="175" t="str">
        <f>" "&amp;Info!AG20</f>
        <v xml:space="preserve"> </v>
      </c>
      <c r="K20" s="323"/>
      <c r="L20" s="338"/>
      <c r="M20" s="327"/>
      <c r="P20" s="243"/>
      <c r="Q20" s="243"/>
      <c r="R20" s="243"/>
      <c r="S20" s="243"/>
      <c r="T20" s="243"/>
      <c r="U20" s="243"/>
      <c r="V20" s="243"/>
      <c r="W20" s="243"/>
      <c r="X20" s="243"/>
      <c r="Y20" s="243"/>
      <c r="Z20" s="243"/>
    </row>
    <row r="21" spans="1:26" s="11" customFormat="1" x14ac:dyDescent="0.2">
      <c r="A21" s="157" t="str">
        <f>IF(AND(WEEKDAY($B21,2)&lt;&gt;3,VLOOKUP($B21,Info!$AO$7:$AO$17,1)=$B21)," ","")&amp;IF(WEEKDAY(B21,2)=1,INT((B21-(DATE(YEAR(B21+(MOD(8-WEEKDAY(B21),7)-3)),1,1))-3+
MOD(WEEKDAY(DATE(YEAR(B21+(MOD(8-WEEKDAY(B21),7)-3)),1,1))+1,7))/7)+1,"")</f>
        <v/>
      </c>
      <c r="B21" s="68">
        <f t="shared" si="0"/>
        <v>41805</v>
      </c>
      <c r="C21" s="59"/>
      <c r="D21" s="59"/>
      <c r="E21" s="59"/>
      <c r="F21" s="59"/>
      <c r="G21" s="285" t="str">
        <f>IF(AND(WEEKDAY(B21,2)&gt;5,$C21=""),"",IF(E21&gt;0,(E21*60+F21)-(C21*60+D21)-H21+TRUNC(Info!$D$10*(I21/100)),IF(MID(C21,1,2)="Fl",0,Info!AG55))-Info!AG55)</f>
        <v/>
      </c>
      <c r="H21" s="185">
        <f>IF(AND(Info!$C$46&gt;0,$E21&gt;$C21),Info!$C$46,)</f>
        <v>0</v>
      </c>
      <c r="I21" s="185"/>
      <c r="J21" s="175" t="str">
        <f>" "&amp;Info!AG21</f>
        <v xml:space="preserve"> </v>
      </c>
      <c r="K21" s="323"/>
      <c r="L21" s="338"/>
      <c r="M21" s="327"/>
      <c r="P21" s="243"/>
      <c r="Q21" s="243"/>
      <c r="R21" s="243"/>
      <c r="S21" s="243"/>
      <c r="T21" s="243"/>
      <c r="U21" s="243"/>
      <c r="V21" s="243"/>
      <c r="W21" s="243"/>
      <c r="X21" s="243"/>
      <c r="Y21" s="243"/>
      <c r="Z21" s="243"/>
    </row>
    <row r="22" spans="1:26" s="11" customFormat="1" x14ac:dyDescent="0.2">
      <c r="A22" s="157" t="str">
        <f>IF(AND(WEEKDAY($B22,2)&lt;&gt;3,VLOOKUP($B22,Info!$AO$7:$AO$17,1)=$B22)," ","")&amp;IF(WEEKDAY(B22,2)=1,INT((B22-(DATE(YEAR(B22+(MOD(8-WEEKDAY(B22),7)-3)),1,1))-3+
MOD(WEEKDAY(DATE(YEAR(B22+(MOD(8-WEEKDAY(B22),7)-3)),1,1))+1,7))/7)+1,"")</f>
        <v>25</v>
      </c>
      <c r="B22" s="68">
        <f t="shared" si="0"/>
        <v>41806</v>
      </c>
      <c r="C22" s="59"/>
      <c r="D22" s="59"/>
      <c r="E22" s="59"/>
      <c r="F22" s="59"/>
      <c r="G22" s="285">
        <f>IF(AND(WEEKDAY(B22,2)&gt;5,$C22=""),"",IF(E22&gt;0,(E22*60+F22)-(C22*60+D22)-H22+TRUNC(Info!$D$10*(I22/100)),IF(MID(C22,1,2)="Fl",0,Info!AG56))-Info!AG56)</f>
        <v>0</v>
      </c>
      <c r="H22" s="185">
        <f>IF(AND(Info!$C$46&gt;0,$E22&gt;$C22),Info!$C$46,)</f>
        <v>0</v>
      </c>
      <c r="I22" s="185"/>
      <c r="J22" s="175" t="str">
        <f>" "&amp;Info!AG22</f>
        <v xml:space="preserve"> </v>
      </c>
      <c r="K22" s="323"/>
      <c r="L22" s="338"/>
      <c r="M22" s="327"/>
      <c r="P22" s="243"/>
      <c r="Q22" s="243"/>
      <c r="R22" s="243"/>
      <c r="S22" s="243"/>
      <c r="T22" s="243"/>
      <c r="U22" s="243"/>
      <c r="V22" s="243"/>
      <c r="W22" s="243"/>
      <c r="X22" s="243"/>
      <c r="Y22" s="243"/>
      <c r="Z22" s="243"/>
    </row>
    <row r="23" spans="1:26" s="11" customFormat="1" x14ac:dyDescent="0.2">
      <c r="A23" s="157" t="str">
        <f>IF(AND(WEEKDAY($B23,2)&lt;&gt;3,VLOOKUP($B23,Info!$AO$7:$AO$17,1)=$B23)," ","")&amp;IF(WEEKDAY(B23,2)=1,INT((B23-(DATE(YEAR(B23+(MOD(8-WEEKDAY(B23),7)-3)),1,1))-3+
MOD(WEEKDAY(DATE(YEAR(B23+(MOD(8-WEEKDAY(B23),7)-3)),1,1))+1,7))/7)+1,"")</f>
        <v/>
      </c>
      <c r="B23" s="68">
        <f t="shared" si="0"/>
        <v>41807</v>
      </c>
      <c r="C23" s="59"/>
      <c r="D23" s="59"/>
      <c r="E23" s="59"/>
      <c r="F23" s="59"/>
      <c r="G23" s="285">
        <f>IF(AND(WEEKDAY(B23,2)&gt;5,$C23=""),"",IF(E23&gt;0,(E23*60+F23)-(C23*60+D23)-H23+TRUNC(Info!$D$10*(I23/100)),IF(MID(C23,1,2)="Fl",0,Info!AG57))-Info!AG57)</f>
        <v>0</v>
      </c>
      <c r="H23" s="185">
        <f>IF(AND(Info!$C$46&gt;0,$E23&gt;$C23),Info!$C$46,)</f>
        <v>0</v>
      </c>
      <c r="I23" s="185"/>
      <c r="J23" s="175" t="str">
        <f>" "&amp;Info!AG23</f>
        <v xml:space="preserve"> Nasjonaldag Island</v>
      </c>
      <c r="K23" s="323"/>
      <c r="L23" s="338"/>
      <c r="M23" s="327"/>
      <c r="P23" s="243"/>
      <c r="Q23" s="243"/>
      <c r="R23" s="243"/>
      <c r="S23" s="243"/>
      <c r="T23" s="243"/>
      <c r="U23" s="243"/>
      <c r="V23" s="243"/>
      <c r="W23" s="243"/>
      <c r="X23" s="243"/>
      <c r="Y23" s="243"/>
      <c r="Z23" s="243"/>
    </row>
    <row r="24" spans="1:26" s="11" customFormat="1" x14ac:dyDescent="0.2">
      <c r="A24" s="157" t="str">
        <f>IF(AND(WEEKDAY($B24,2)&lt;&gt;3,VLOOKUP($B24,Info!$AO$7:$AO$17,1)=$B24)," ","")&amp;IF(WEEKDAY(B24,2)=1,INT((B24-(DATE(YEAR(B24+(MOD(8-WEEKDAY(B24),7)-3)),1,1))-3+
MOD(WEEKDAY(DATE(YEAR(B24+(MOD(8-WEEKDAY(B24),7)-3)),1,1))+1,7))/7)+1,"")</f>
        <v/>
      </c>
      <c r="B24" s="68">
        <f t="shared" si="0"/>
        <v>41808</v>
      </c>
      <c r="C24" s="59"/>
      <c r="D24" s="59"/>
      <c r="E24" s="59"/>
      <c r="F24" s="59"/>
      <c r="G24" s="285">
        <f>IF(AND(WEEKDAY(B24,2)&gt;5,$C24=""),"",IF(E24&gt;0,(E24*60+F24)-(C24*60+D24)-H24+TRUNC(Info!$D$10*(I24/100)),IF(MID(C24,1,2)="Fl",0,Info!AG58))-Info!AG58)</f>
        <v>0</v>
      </c>
      <c r="H24" s="185">
        <f>IF(AND(Info!$C$46&gt;0,$E24&gt;$C24),Info!$C$46,)</f>
        <v>0</v>
      </c>
      <c r="I24" s="185"/>
      <c r="J24" s="175" t="str">
        <f>" "&amp;Info!AG24</f>
        <v xml:space="preserve"> </v>
      </c>
      <c r="K24" s="323"/>
      <c r="L24" s="338"/>
      <c r="M24" s="327"/>
      <c r="P24" s="243"/>
      <c r="Q24" s="243"/>
      <c r="R24" s="243"/>
      <c r="S24" s="243"/>
      <c r="T24" s="243"/>
      <c r="U24" s="243"/>
      <c r="V24" s="243"/>
      <c r="W24" s="243"/>
      <c r="X24" s="243"/>
      <c r="Y24" s="243"/>
      <c r="Z24" s="243"/>
    </row>
    <row r="25" spans="1:26" s="11" customFormat="1" x14ac:dyDescent="0.2">
      <c r="A25" s="157" t="str">
        <f>IF(AND(WEEKDAY($B25,2)&lt;&gt;3,VLOOKUP($B25,Info!$AO$7:$AO$17,1)=$B25)," ","")&amp;IF(WEEKDAY(B25,2)=1,INT((B25-(DATE(YEAR(B25+(MOD(8-WEEKDAY(B25),7)-3)),1,1))-3+
MOD(WEEKDAY(DATE(YEAR(B25+(MOD(8-WEEKDAY(B25),7)-3)),1,1))+1,7))/7)+1,"")</f>
        <v/>
      </c>
      <c r="B25" s="68">
        <f t="shared" si="0"/>
        <v>41809</v>
      </c>
      <c r="C25" s="59"/>
      <c r="D25" s="59"/>
      <c r="E25" s="59"/>
      <c r="F25" s="59"/>
      <c r="G25" s="285">
        <f>IF(AND(WEEKDAY(B25,2)&gt;5,$C25=""),"",IF(E25&gt;0,(E25*60+F25)-(C25*60+D25)-H25+TRUNC(Info!$D$10*(I25/100)),IF(MID(C25,1,2)="Fl",0,Info!AG59))-Info!AG59)</f>
        <v>0</v>
      </c>
      <c r="H25" s="185">
        <f>IF(AND(Info!$C$46&gt;0,$E25&gt;$C25),Info!$C$46,)</f>
        <v>0</v>
      </c>
      <c r="I25" s="185"/>
      <c r="J25" s="175" t="str">
        <f>" "&amp;Info!AG25</f>
        <v xml:space="preserve"> </v>
      </c>
      <c r="K25" s="323"/>
      <c r="L25" s="338"/>
      <c r="M25" s="327"/>
      <c r="P25" s="243"/>
      <c r="Q25" s="243"/>
      <c r="R25" s="243"/>
      <c r="S25" s="243"/>
      <c r="T25" s="243"/>
      <c r="U25" s="243"/>
      <c r="V25" s="243"/>
      <c r="W25" s="243"/>
      <c r="X25" s="243"/>
      <c r="Y25" s="243"/>
      <c r="Z25" s="243"/>
    </row>
    <row r="26" spans="1:26" s="11" customFormat="1" x14ac:dyDescent="0.2">
      <c r="A26" s="157" t="str">
        <f>IF(AND(WEEKDAY($B26,2)&lt;&gt;3,VLOOKUP($B26,Info!$AO$7:$AO$17,1)=$B26)," ","")&amp;IF(WEEKDAY(B26,2)=1,INT((B26-(DATE(YEAR(B26+(MOD(8-WEEKDAY(B26),7)-3)),1,1))-3+
MOD(WEEKDAY(DATE(YEAR(B26+(MOD(8-WEEKDAY(B26),7)-3)),1,1))+1,7))/7)+1,"")</f>
        <v/>
      </c>
      <c r="B26" s="68">
        <f t="shared" si="0"/>
        <v>41810</v>
      </c>
      <c r="C26" s="59"/>
      <c r="D26" s="59"/>
      <c r="E26" s="59"/>
      <c r="F26" s="59"/>
      <c r="G26" s="285">
        <f>IF(AND(WEEKDAY(B26,2)&gt;5,$C26=""),"",IF(E26&gt;0,(E26*60+F26)-(C26*60+D26)-H26+TRUNC(Info!$D$10*(I26/100)),IF(MID(C26,1,2)="Fl",0,Info!AG60))-Info!AG60)</f>
        <v>0</v>
      </c>
      <c r="H26" s="185">
        <f>IF(AND(Info!$C$46&gt;0,$E26&gt;$C26),Info!$C$46,)</f>
        <v>0</v>
      </c>
      <c r="I26" s="185"/>
      <c r="J26" s="175" t="str">
        <f>" "&amp;Info!AG26</f>
        <v xml:space="preserve"> </v>
      </c>
      <c r="K26" s="323"/>
      <c r="L26" s="338"/>
      <c r="M26" s="327"/>
      <c r="P26" s="243"/>
      <c r="Q26" s="243"/>
      <c r="R26" s="243"/>
      <c r="S26" s="243"/>
      <c r="T26" s="243"/>
      <c r="U26" s="243"/>
      <c r="V26" s="243"/>
      <c r="W26" s="243"/>
      <c r="X26" s="243"/>
      <c r="Y26" s="243"/>
      <c r="Z26" s="243"/>
    </row>
    <row r="27" spans="1:26" s="11" customFormat="1" x14ac:dyDescent="0.2">
      <c r="A27" s="157" t="str">
        <f>IF(AND(WEEKDAY($B27,2)&lt;&gt;3,VLOOKUP($B27,Info!$AO$7:$AO$17,1)=$B27)," ","")&amp;IF(WEEKDAY(B27,2)=1,INT((B27-(DATE(YEAR(B27+(MOD(8-WEEKDAY(B27),7)-3)),1,1))-3+
MOD(WEEKDAY(DATE(YEAR(B27+(MOD(8-WEEKDAY(B27),7)-3)),1,1))+1,7))/7)+1,"")</f>
        <v/>
      </c>
      <c r="B27" s="68">
        <f t="shared" si="0"/>
        <v>41811</v>
      </c>
      <c r="C27" s="59"/>
      <c r="D27" s="59"/>
      <c r="E27" s="59"/>
      <c r="F27" s="59"/>
      <c r="G27" s="285" t="str">
        <f>IF(AND(WEEKDAY(B27,2)&gt;5,$C27=""),"",IF(E27&gt;0,(E27*60+F27)-(C27*60+D27)-H27+TRUNC(Info!$D$10*(I27/100)),IF(MID(C27,1,2)="Fl",0,Info!AG61))-Info!AG61)</f>
        <v/>
      </c>
      <c r="H27" s="185">
        <f>IF(AND(Info!$C$46&gt;0,$E27&gt;$C27),Info!$C$46,)</f>
        <v>0</v>
      </c>
      <c r="I27" s="185"/>
      <c r="J27" s="175" t="str">
        <f>" "&amp;Info!AG27</f>
        <v xml:space="preserve"> </v>
      </c>
      <c r="K27" s="323"/>
      <c r="L27" s="338"/>
      <c r="M27" s="327"/>
      <c r="P27" s="243"/>
      <c r="Q27" s="243"/>
      <c r="R27" s="243"/>
      <c r="S27" s="243"/>
      <c r="T27" s="243"/>
      <c r="U27" s="243"/>
      <c r="V27" s="243"/>
      <c r="W27" s="243"/>
      <c r="X27" s="243"/>
      <c r="Y27" s="243"/>
      <c r="Z27" s="243"/>
    </row>
    <row r="28" spans="1:26" s="11" customFormat="1" x14ac:dyDescent="0.2">
      <c r="A28" s="157" t="str">
        <f>IF(AND(WEEKDAY($B28,2)&lt;&gt;3,VLOOKUP($B28,Info!$AO$7:$AO$17,1)=$B28)," ","")&amp;IF(WEEKDAY(B28,2)=1,INT((B28-(DATE(YEAR(B28+(MOD(8-WEEKDAY(B28),7)-3)),1,1))-3+
MOD(WEEKDAY(DATE(YEAR(B28+(MOD(8-WEEKDAY(B28),7)-3)),1,1))+1,7))/7)+1,"")</f>
        <v/>
      </c>
      <c r="B28" s="68">
        <f t="shared" si="0"/>
        <v>41812</v>
      </c>
      <c r="C28" s="59"/>
      <c r="D28" s="59"/>
      <c r="E28" s="59"/>
      <c r="F28" s="59"/>
      <c r="G28" s="285" t="str">
        <f>IF(AND(WEEKDAY(B28,2)&gt;5,$C28=""),"",IF(E28&gt;0,(E28*60+F28)-(C28*60+D28)-H28+TRUNC(Info!$D$10*(I28/100)),IF(MID(C28,1,2)="Fl",0,Info!AG62))-Info!AG62)</f>
        <v/>
      </c>
      <c r="H28" s="185">
        <f>IF(AND(Info!$C$46&gt;0,$E28&gt;$C28),Info!$C$46,)</f>
        <v>0</v>
      </c>
      <c r="I28" s="185"/>
      <c r="J28" s="175" t="str">
        <f>" "&amp;Info!AG28</f>
        <v xml:space="preserve"> </v>
      </c>
      <c r="K28" s="323"/>
      <c r="L28" s="338"/>
      <c r="M28" s="327"/>
      <c r="P28" s="243"/>
      <c r="Q28" s="243"/>
      <c r="R28" s="243"/>
      <c r="S28" s="243"/>
      <c r="T28" s="243"/>
      <c r="U28" s="243"/>
      <c r="V28" s="243"/>
      <c r="W28" s="243"/>
      <c r="X28" s="243"/>
      <c r="Y28" s="243"/>
      <c r="Z28" s="243"/>
    </row>
    <row r="29" spans="1:26" s="11" customFormat="1" x14ac:dyDescent="0.2">
      <c r="A29" s="157" t="str">
        <f>IF(AND(WEEKDAY($B29,2)&lt;&gt;3,VLOOKUP($B29,Info!$AO$7:$AO$17,1)=$B29)," ","")&amp;IF(WEEKDAY(B29,2)=1,INT((B29-(DATE(YEAR(B29+(MOD(8-WEEKDAY(B29),7)-3)),1,1))-3+
MOD(WEEKDAY(DATE(YEAR(B29+(MOD(8-WEEKDAY(B29),7)-3)),1,1))+1,7))/7)+1,"")</f>
        <v>26</v>
      </c>
      <c r="B29" s="68">
        <f t="shared" si="0"/>
        <v>41813</v>
      </c>
      <c r="C29" s="59"/>
      <c r="D29" s="59"/>
      <c r="E29" s="59"/>
      <c r="F29" s="59"/>
      <c r="G29" s="285">
        <f>IF(AND(WEEKDAY(B29,2)&gt;5,$C29=""),"",IF(E29&gt;0,(E29*60+F29)-(C29*60+D29)-H29+TRUNC(Info!$D$10*(I29/100)),IF(MID(C29,1,2)="Fl",0,Info!AG63))-Info!AG63)</f>
        <v>0</v>
      </c>
      <c r="H29" s="185">
        <f>IF(AND(Info!$C$46&gt;0,$E29&gt;$C29),Info!$C$46,)</f>
        <v>0</v>
      </c>
      <c r="I29" s="185"/>
      <c r="J29" s="175" t="str">
        <f>" "&amp;Info!AG29</f>
        <v xml:space="preserve"> St. Hansaften</v>
      </c>
      <c r="K29" s="323"/>
      <c r="L29" s="338"/>
      <c r="M29" s="327"/>
      <c r="P29" s="243"/>
      <c r="Q29" s="243"/>
      <c r="R29" s="243"/>
      <c r="S29" s="243"/>
      <c r="T29" s="243"/>
      <c r="U29" s="243"/>
      <c r="V29" s="243"/>
      <c r="W29" s="243"/>
      <c r="X29" s="243"/>
      <c r="Y29" s="243"/>
      <c r="Z29" s="243"/>
    </row>
    <row r="30" spans="1:26" s="11" customFormat="1" x14ac:dyDescent="0.2">
      <c r="A30" s="157" t="str">
        <f>IF(AND(WEEKDAY($B30,2)&lt;&gt;3,VLOOKUP($B30,Info!$AO$7:$AO$17,1)=$B30)," ","")&amp;IF(WEEKDAY(B30,2)=1,INT((B30-(DATE(YEAR(B30+(MOD(8-WEEKDAY(B30),7)-3)),1,1))-3+
MOD(WEEKDAY(DATE(YEAR(B30+(MOD(8-WEEKDAY(B30),7)-3)),1,1))+1,7))/7)+1,"")</f>
        <v/>
      </c>
      <c r="B30" s="68">
        <f t="shared" si="0"/>
        <v>41814</v>
      </c>
      <c r="C30" s="59"/>
      <c r="D30" s="59"/>
      <c r="E30" s="59"/>
      <c r="F30" s="59"/>
      <c r="G30" s="285">
        <f>IF(AND(WEEKDAY(B30,2)&gt;5,$C30=""),"",IF(E30&gt;0,(E30*60+F30)-(C30*60+D30)-H30+TRUNC(Info!$D$10*(I30/100)),IF(MID(C30,1,2)="Fl",0,Info!AG64))-Info!AG64)</f>
        <v>0</v>
      </c>
      <c r="H30" s="185">
        <f>IF(AND(Info!$C$46&gt;0,$E30&gt;$C30),Info!$C$46,)</f>
        <v>0</v>
      </c>
      <c r="I30" s="185"/>
      <c r="J30" s="175" t="str">
        <f>" "&amp;Info!AG30</f>
        <v xml:space="preserve"> </v>
      </c>
      <c r="K30" s="323"/>
      <c r="L30" s="338"/>
      <c r="M30" s="327"/>
      <c r="P30" s="243"/>
      <c r="Q30" s="243"/>
      <c r="R30" s="243"/>
      <c r="S30" s="243"/>
      <c r="T30" s="243"/>
      <c r="U30" s="243"/>
      <c r="V30" s="243"/>
      <c r="W30" s="243"/>
      <c r="X30" s="243"/>
      <c r="Y30" s="243"/>
      <c r="Z30" s="243"/>
    </row>
    <row r="31" spans="1:26" s="11" customFormat="1" x14ac:dyDescent="0.2">
      <c r="A31" s="157" t="str">
        <f>IF(AND(WEEKDAY($B31,2)&lt;&gt;3,VLOOKUP($B31,Info!$AO$7:$AO$17,1)=$B31)," ","")&amp;IF(WEEKDAY(B31,2)=1,INT((B31-(DATE(YEAR(B31+(MOD(8-WEEKDAY(B31),7)-3)),1,1))-3+
MOD(WEEKDAY(DATE(YEAR(B31+(MOD(8-WEEKDAY(B31),7)-3)),1,1))+1,7))/7)+1,"")</f>
        <v/>
      </c>
      <c r="B31" s="68">
        <f t="shared" si="0"/>
        <v>41815</v>
      </c>
      <c r="C31" s="59"/>
      <c r="D31" s="59"/>
      <c r="E31" s="59"/>
      <c r="F31" s="59"/>
      <c r="G31" s="285">
        <f>IF(AND(WEEKDAY(B31,2)&gt;5,$C31=""),"",IF(E31&gt;0,(E31*60+F31)-(C31*60+D31)-H31+TRUNC(Info!$D$10*(I31/100)),IF(MID(C31,1,2)="Fl",0,Info!AG65))-Info!AG65)</f>
        <v>0</v>
      </c>
      <c r="H31" s="185">
        <f>IF(AND(Info!$C$46&gt;0,$E31&gt;$C31),Info!$C$46,)</f>
        <v>0</v>
      </c>
      <c r="I31" s="185"/>
      <c r="J31" s="175" t="str">
        <f>" "&amp;Info!AG31</f>
        <v xml:space="preserve"> </v>
      </c>
      <c r="K31" s="323"/>
      <c r="L31" s="338"/>
      <c r="M31" s="327"/>
      <c r="P31" s="243"/>
      <c r="Q31" s="243"/>
      <c r="R31" s="243"/>
      <c r="S31" s="243"/>
      <c r="T31" s="243"/>
      <c r="U31" s="243"/>
      <c r="V31" s="243"/>
      <c r="W31" s="243"/>
      <c r="X31" s="243"/>
      <c r="Y31" s="243"/>
      <c r="Z31" s="243"/>
    </row>
    <row r="32" spans="1:26" s="11" customFormat="1" x14ac:dyDescent="0.2">
      <c r="A32" s="157" t="str">
        <f>IF(AND(WEEKDAY($B32,2)&lt;&gt;3,VLOOKUP($B32,Info!$AO$7:$AO$17,1)=$B32)," ","")&amp;IF(WEEKDAY(B32,2)=1,INT((B32-(DATE(YEAR(B32+(MOD(8-WEEKDAY(B32),7)-3)),1,1))-3+
MOD(WEEKDAY(DATE(YEAR(B32+(MOD(8-WEEKDAY(B32),7)-3)),1,1))+1,7))/7)+1,"")</f>
        <v/>
      </c>
      <c r="B32" s="68">
        <f t="shared" si="0"/>
        <v>41816</v>
      </c>
      <c r="C32" s="59"/>
      <c r="D32" s="59"/>
      <c r="E32" s="59"/>
      <c r="F32" s="59"/>
      <c r="G32" s="285">
        <f>IF(AND(WEEKDAY(B32,2)&gt;5,$C32=""),"",IF(E32&gt;0,(E32*60+F32)-(C32*60+D32)-H32+TRUNC(Info!$D$10*(I32/100)),IF(MID(C32,1,2)="Fl",0,Info!AG66))-Info!AG66)</f>
        <v>0</v>
      </c>
      <c r="H32" s="185">
        <f>IF(AND(Info!$C$46&gt;0,$E32&gt;$C32),Info!$C$46,)</f>
        <v>0</v>
      </c>
      <c r="I32" s="185"/>
      <c r="J32" s="175" t="str">
        <f>" "&amp;Info!AG32</f>
        <v xml:space="preserve"> </v>
      </c>
      <c r="K32" s="323"/>
      <c r="L32" s="338"/>
      <c r="M32" s="327"/>
      <c r="P32" s="243"/>
      <c r="Q32" s="243"/>
      <c r="R32" s="243"/>
      <c r="S32" s="243"/>
      <c r="T32" s="243"/>
      <c r="U32" s="243"/>
      <c r="V32" s="243"/>
      <c r="W32" s="243"/>
      <c r="X32" s="243"/>
      <c r="Y32" s="243"/>
      <c r="Z32" s="243"/>
    </row>
    <row r="33" spans="1:26" s="11" customFormat="1" x14ac:dyDescent="0.2">
      <c r="A33" s="157" t="str">
        <f>IF(AND(WEEKDAY($B33,2)&lt;&gt;3,VLOOKUP($B33,Info!$AO$7:$AO$17,1)=$B33)," ","")&amp;IF(WEEKDAY(B33,2)=1,INT((B33-(DATE(YEAR(B33+(MOD(8-WEEKDAY(B33),7)-3)),1,1))-3+
MOD(WEEKDAY(DATE(YEAR(B33+(MOD(8-WEEKDAY(B33),7)-3)),1,1))+1,7))/7)+1,"")</f>
        <v/>
      </c>
      <c r="B33" s="68">
        <f t="shared" si="0"/>
        <v>41817</v>
      </c>
      <c r="C33" s="59"/>
      <c r="D33" s="59"/>
      <c r="E33" s="59"/>
      <c r="F33" s="59"/>
      <c r="G33" s="285">
        <f>IF(AND(WEEKDAY(B33,2)&gt;5,$C33=""),"",IF(E33&gt;0,(E33*60+F33)-(C33*60+D33)-H33+TRUNC(Info!$D$10*(I33/100)),IF(MID(C33,1,2)="Fl",0,Info!AG67))-Info!AG67)</f>
        <v>0</v>
      </c>
      <c r="H33" s="185">
        <f>IF(AND(Info!$C$46&gt;0,$E33&gt;$C33),Info!$C$46,)</f>
        <v>0</v>
      </c>
      <c r="I33" s="185"/>
      <c r="J33" s="175" t="str">
        <f>" "&amp;Info!AG33</f>
        <v xml:space="preserve"> </v>
      </c>
      <c r="K33" s="323"/>
      <c r="L33" s="338"/>
      <c r="M33" s="327"/>
      <c r="P33" s="243"/>
      <c r="Q33" s="243"/>
      <c r="R33" s="243"/>
      <c r="S33" s="243"/>
      <c r="T33" s="243"/>
      <c r="U33" s="243"/>
      <c r="V33" s="243"/>
      <c r="W33" s="243"/>
      <c r="X33" s="243"/>
      <c r="Y33" s="243"/>
      <c r="Z33" s="243"/>
    </row>
    <row r="34" spans="1:26" s="11" customFormat="1" x14ac:dyDescent="0.2">
      <c r="A34" s="157" t="str">
        <f>IF(AND(WEEKDAY($B34,2)&lt;&gt;3,VLOOKUP($B34,Info!$AO$7:$AO$17,1)=$B34)," ","")&amp;IF(WEEKDAY(B34,2)=1,INT((B34-(DATE(YEAR(B34+(MOD(8-WEEKDAY(B34),7)-3)),1,1))-3+
MOD(WEEKDAY(DATE(YEAR(B34+(MOD(8-WEEKDAY(B34),7)-3)),1,1))+1,7))/7)+1,"")</f>
        <v/>
      </c>
      <c r="B34" s="68">
        <f t="shared" si="0"/>
        <v>41818</v>
      </c>
      <c r="C34" s="59"/>
      <c r="D34" s="59"/>
      <c r="E34" s="59"/>
      <c r="F34" s="59"/>
      <c r="G34" s="285" t="str">
        <f>IF(AND(WEEKDAY(B34,2)&gt;5,$C34=""),"",IF(E34&gt;0,(E34*60+F34)-(C34*60+D34)-H34+TRUNC(Info!$D$10*(I34/100)),IF(MID(C34,1,2)="Fl",0,Info!AG68))-Info!AG68)</f>
        <v/>
      </c>
      <c r="H34" s="185">
        <f>IF(AND(Info!$C$46&gt;0,$E34&gt;$C34),Info!$C$46,)</f>
        <v>0</v>
      </c>
      <c r="I34" s="185"/>
      <c r="J34" s="175" t="str">
        <f>" "&amp;Info!AG34</f>
        <v xml:space="preserve"> </v>
      </c>
      <c r="K34" s="323"/>
      <c r="L34" s="338"/>
      <c r="M34" s="327"/>
      <c r="P34" s="243"/>
      <c r="Q34" s="243"/>
      <c r="R34" s="243"/>
      <c r="S34" s="243"/>
      <c r="T34" s="243"/>
      <c r="U34" s="243"/>
      <c r="V34" s="243"/>
      <c r="W34" s="243"/>
      <c r="X34" s="243"/>
      <c r="Y34" s="243"/>
      <c r="Z34" s="243"/>
    </row>
    <row r="35" spans="1:26" s="11" customFormat="1" x14ac:dyDescent="0.2">
      <c r="A35" s="157" t="str">
        <f>IF(AND(WEEKDAY($B35,2)&lt;&gt;3,VLOOKUP($B35,Info!$AO$7:$AO$17,1)=$B35)," ","")&amp;IF(WEEKDAY(B35,2)=1,INT((B35-(DATE(YEAR(B35+(MOD(8-WEEKDAY(B35),7)-3)),1,1))-3+
MOD(WEEKDAY(DATE(YEAR(B35+(MOD(8-WEEKDAY(B35),7)-3)),1,1))+1,7))/7)+1,"")</f>
        <v/>
      </c>
      <c r="B35" s="68">
        <f t="shared" si="0"/>
        <v>41819</v>
      </c>
      <c r="C35" s="59"/>
      <c r="D35" s="59"/>
      <c r="E35" s="59"/>
      <c r="F35" s="59"/>
      <c r="G35" s="285" t="str">
        <f>IF(AND(WEEKDAY(B35,2)&gt;5,$C35=""),"",IF(E35&gt;0,(E35*60+F35)-(C35*60+D35)-H35+TRUNC(Info!$D$10*(I35/100)),IF(MID(C35,1,2)="Fl",0,Info!AG69))-Info!AG69)</f>
        <v/>
      </c>
      <c r="H35" s="185">
        <f>IF(AND(Info!$C$46&gt;0,$E35&gt;$C35),Info!$C$46,)</f>
        <v>0</v>
      </c>
      <c r="I35" s="185"/>
      <c r="J35" s="175" t="str">
        <f>" "&amp;Info!AG35</f>
        <v xml:space="preserve"> </v>
      </c>
      <c r="K35" s="323"/>
      <c r="L35" s="338"/>
      <c r="M35" s="327"/>
      <c r="P35" s="243"/>
      <c r="Q35" s="243"/>
      <c r="R35" s="243"/>
      <c r="S35" s="243"/>
      <c r="T35" s="243"/>
      <c r="U35" s="243"/>
      <c r="V35" s="243"/>
      <c r="W35" s="243"/>
      <c r="X35" s="243"/>
      <c r="Y35" s="243"/>
      <c r="Z35" s="243"/>
    </row>
    <row r="36" spans="1:26" s="11" customFormat="1" ht="13.5" thickBot="1" x14ac:dyDescent="0.25">
      <c r="A36" s="157" t="str">
        <f>IF(AND(WEEKDAY($B36,2)&lt;&gt;3,VLOOKUP($B36,Info!$AO$7:$AO$17,1)=$B36)," ","")&amp;IF(WEEKDAY(B36,2)=1,INT((B36-(DATE(YEAR(B36+(MOD(8-WEEKDAY(B36),7)-3)),1,1))-3+
MOD(WEEKDAY(DATE(YEAR(B36+(MOD(8-WEEKDAY(B36),7)-3)),1,1))+1,7))/7)+1,"")</f>
        <v>27</v>
      </c>
      <c r="B36" s="69">
        <f t="shared" si="0"/>
        <v>41820</v>
      </c>
      <c r="C36" s="60"/>
      <c r="D36" s="60"/>
      <c r="E36" s="60"/>
      <c r="F36" s="60"/>
      <c r="G36" s="286">
        <f>IF(AND(WEEKDAY(B36,2)&gt;5,$C36=""),"",IF(E36&gt;0,(E36*60+F36)-(C36*60+D36)-H36+TRUNC(Info!$D$10*(I36/100)),IF(MID(C36,1,2)="Fl",0,Info!AG70))-Info!AG70)</f>
        <v>0</v>
      </c>
      <c r="H36" s="186">
        <f>IF(AND(Info!$C$46&gt;0,$E36&gt;$C36),Info!$C$46,)</f>
        <v>0</v>
      </c>
      <c r="I36" s="186"/>
      <c r="J36" s="176" t="str">
        <f>" "&amp;Info!AG36</f>
        <v xml:space="preserve"> </v>
      </c>
      <c r="K36" s="323"/>
      <c r="L36" s="338"/>
      <c r="M36" s="327"/>
      <c r="P36" s="243"/>
      <c r="Q36" s="243"/>
      <c r="R36" s="243"/>
      <c r="S36" s="243"/>
      <c r="T36" s="243"/>
      <c r="U36" s="243"/>
      <c r="V36" s="243"/>
      <c r="W36" s="243"/>
      <c r="X36" s="243"/>
      <c r="Y36" s="243"/>
      <c r="Z36" s="243"/>
    </row>
    <row r="37" spans="1:26" x14ac:dyDescent="0.2">
      <c r="G37" s="45"/>
      <c r="H37" s="12"/>
      <c r="I37" s="12"/>
      <c r="K37" s="313">
        <f>SUM(K7:K36)</f>
        <v>0</v>
      </c>
      <c r="L37" s="313">
        <f>SUM(L6:L36)</f>
        <v>0</v>
      </c>
      <c r="M37" s="327"/>
      <c r="N37" s="337">
        <f>SUM(Mai!$K$27:'Mai'!$K37)+SUM($K$7:$K$26)</f>
        <v>0</v>
      </c>
    </row>
    <row r="38" spans="1:26" x14ac:dyDescent="0.2">
      <c r="K38" s="342" t="str">
        <f>ROUNDDOWN(K37/60,1)&amp;" t"</f>
        <v>0 t</v>
      </c>
      <c r="L38" s="96" t="s">
        <v>217</v>
      </c>
      <c r="M38" s="327"/>
      <c r="N38" s="330" t="str">
        <f>ROUNDDOWN(N37/60,1)&amp;" t  i perioden 21."&amp;TEXT(B7-1,"m")&amp;"-20."&amp;TEXT(B7,"m")</f>
        <v>0 t  i perioden 21.5-20.6</v>
      </c>
    </row>
    <row r="39" spans="1:26" x14ac:dyDescent="0.2">
      <c r="B39" s="454" t="s">
        <v>141</v>
      </c>
      <c r="C39" s="455"/>
      <c r="D39" s="455"/>
      <c r="E39" s="456"/>
      <c r="F39" s="208" t="s">
        <v>48</v>
      </c>
      <c r="G39" s="209" t="s">
        <v>49</v>
      </c>
      <c r="H39" s="482" t="s">
        <v>50</v>
      </c>
      <c r="I39" s="460"/>
      <c r="J39" s="14" t="s">
        <v>19</v>
      </c>
      <c r="K39" s="92"/>
      <c r="L39" s="92"/>
    </row>
    <row r="40" spans="1:26" x14ac:dyDescent="0.2">
      <c r="B40" s="191" t="str">
        <f>J$2&amp;":"</f>
        <v>Juni:</v>
      </c>
      <c r="C40" s="1"/>
      <c r="D40" s="1"/>
      <c r="E40" s="40">
        <f>SUM(G$7:G$37)</f>
        <v>0</v>
      </c>
      <c r="F40" s="38">
        <f>TRUNC(E40/60,)</f>
        <v>0</v>
      </c>
      <c r="G40" s="50">
        <f>((E40/60)-F40)*60</f>
        <v>0</v>
      </c>
      <c r="H40" s="471"/>
      <c r="I40" s="472"/>
      <c r="J40" s="15" t="s">
        <v>145</v>
      </c>
      <c r="K40" s="92"/>
      <c r="L40" s="92"/>
    </row>
    <row r="41" spans="1:26" x14ac:dyDescent="0.2">
      <c r="B41" s="192" t="str">
        <f>"Fra "&amp;TEXT(($B$7-1),"mmmm")&amp;":"</f>
        <v>Fra mai:</v>
      </c>
      <c r="C41" s="1"/>
      <c r="D41" s="1"/>
      <c r="E41" s="40">
        <f>Mai!$E$43</f>
        <v>0</v>
      </c>
      <c r="F41" s="39">
        <f>TRUNC(E41/60,)</f>
        <v>0</v>
      </c>
      <c r="G41" s="51">
        <f>((E41/60)-F41)*60</f>
        <v>0</v>
      </c>
      <c r="H41" s="473"/>
      <c r="I41" s="474"/>
      <c r="J41" s="15" t="s">
        <v>146</v>
      </c>
      <c r="K41" s="92"/>
      <c r="L41" s="92"/>
    </row>
    <row r="42" spans="1:26" x14ac:dyDescent="0.2">
      <c r="B42" s="210" t="s">
        <v>142</v>
      </c>
      <c r="C42" s="1"/>
      <c r="D42" s="1"/>
      <c r="E42" s="193">
        <f>E40+E41</f>
        <v>0</v>
      </c>
      <c r="F42" s="80">
        <f>TRUNC(E42/60,)</f>
        <v>0</v>
      </c>
      <c r="G42" s="81">
        <f>((E42/60)-F42)*60</f>
        <v>0</v>
      </c>
      <c r="H42" s="457">
        <f>E42/Info!$D$10</f>
        <v>0</v>
      </c>
      <c r="I42" s="451"/>
      <c r="J42" s="213" t="s">
        <v>147</v>
      </c>
      <c r="K42" s="92"/>
      <c r="L42" s="92"/>
    </row>
    <row r="43" spans="1:26" x14ac:dyDescent="0.2">
      <c r="B43" s="454" t="s">
        <v>133</v>
      </c>
      <c r="C43" s="455"/>
      <c r="D43" s="455"/>
      <c r="E43" s="456"/>
      <c r="F43" s="1"/>
      <c r="G43" s="46"/>
      <c r="H43" s="461">
        <f>IF(Info!$C$47="Ja",E42/Info!$D$11,)</f>
        <v>0</v>
      </c>
      <c r="I43" s="461"/>
      <c r="J43" s="17" t="s">
        <v>40</v>
      </c>
      <c r="K43" s="92"/>
      <c r="L43" s="92"/>
    </row>
    <row r="44" spans="1:26" x14ac:dyDescent="0.2">
      <c r="B44" s="191" t="str">
        <f>J$2&amp;":"</f>
        <v>Juni:</v>
      </c>
      <c r="C44" s="194"/>
      <c r="D44" s="195"/>
      <c r="E44" s="196">
        <f>COUNTIF(C$7:C$37,"Fe*")</f>
        <v>0</v>
      </c>
      <c r="G44" s="47"/>
      <c r="H44" s="18"/>
      <c r="I44" s="18"/>
      <c r="J44" s="25"/>
      <c r="K44" s="92"/>
      <c r="L44" s="92"/>
    </row>
    <row r="45" spans="1:26" x14ac:dyDescent="0.2">
      <c r="B45" s="192" t="s">
        <v>143</v>
      </c>
      <c r="C45" s="7"/>
      <c r="D45" s="7"/>
      <c r="E45" s="197">
        <f>Mai!$E$47</f>
        <v>0</v>
      </c>
      <c r="F45" s="10"/>
      <c r="G45" s="48"/>
      <c r="H45" s="19"/>
      <c r="I45" s="19"/>
      <c r="J45" s="26"/>
      <c r="K45" s="92"/>
      <c r="L45" s="92"/>
    </row>
    <row r="46" spans="1:26" x14ac:dyDescent="0.2">
      <c r="B46" s="211" t="s">
        <v>44</v>
      </c>
      <c r="C46" s="198"/>
      <c r="D46" s="198"/>
      <c r="E46" s="199">
        <f>E45-E44</f>
        <v>0</v>
      </c>
      <c r="F46" s="2"/>
      <c r="G46" s="48"/>
      <c r="H46" s="19"/>
      <c r="I46" s="19"/>
      <c r="J46" s="26"/>
      <c r="K46" s="92"/>
      <c r="L46" s="92"/>
    </row>
    <row r="47" spans="1:26" x14ac:dyDescent="0.2">
      <c r="B47" s="454" t="s">
        <v>140</v>
      </c>
      <c r="C47" s="455"/>
      <c r="D47" s="455"/>
      <c r="E47" s="456"/>
      <c r="F47" s="454" t="s">
        <v>87</v>
      </c>
      <c r="G47" s="458"/>
      <c r="H47" s="459"/>
      <c r="I47" s="460"/>
      <c r="K47" s="92"/>
      <c r="L47" s="92"/>
    </row>
    <row r="48" spans="1:26" x14ac:dyDescent="0.2">
      <c r="B48" s="191" t="str">
        <f>J$2&amp;":"</f>
        <v>Juni:</v>
      </c>
      <c r="C48" s="195"/>
      <c r="D48" s="195"/>
      <c r="E48" s="200">
        <f>COUNTIF(C$7:C$37,"S*")</f>
        <v>0</v>
      </c>
      <c r="F48" s="464" t="str">
        <f>IF(E48&gt;0,"- av disse","")</f>
        <v/>
      </c>
      <c r="G48" s="465"/>
      <c r="H48" s="481" t="str">
        <f>IF(E48&gt;0,E48-COUNTIF(C$7:C$37,"s*m*"),"")</f>
        <v/>
      </c>
      <c r="I48" s="480"/>
      <c r="K48" s="92"/>
      <c r="L48" s="92"/>
    </row>
    <row r="49" spans="2:12" x14ac:dyDescent="0.2">
      <c r="B49" s="211" t="str">
        <f>J$1&amp;":"</f>
        <v>2014:</v>
      </c>
      <c r="C49" s="198"/>
      <c r="D49" s="198"/>
      <c r="E49" s="201">
        <f>Mai!$E$50+E48</f>
        <v>0</v>
      </c>
      <c r="F49" s="452" t="s">
        <v>148</v>
      </c>
      <c r="G49" s="453"/>
      <c r="H49" s="450">
        <f>SUM(Info!$I$10:'Info'!$I$15)+SUM(Info!$J$4:'Info'!$J$8)+E48-COUNTIF(C$7:C$37,"s*m*")</f>
        <v>0</v>
      </c>
      <c r="I49" s="451"/>
      <c r="K49" s="92"/>
      <c r="L49" s="92"/>
    </row>
    <row r="50" spans="2:12" x14ac:dyDescent="0.2">
      <c r="B50" s="454" t="s">
        <v>144</v>
      </c>
      <c r="C50" s="455"/>
      <c r="D50" s="455"/>
      <c r="E50" s="456"/>
      <c r="K50" s="92"/>
      <c r="L50" s="92"/>
    </row>
    <row r="51" spans="2:12" x14ac:dyDescent="0.2">
      <c r="B51" s="202" t="str">
        <f>"Sykt barn/-passer i "&amp;LOWER(J$2)&amp;":"</f>
        <v>Sykt barn/-passer i juni:</v>
      </c>
      <c r="C51" s="28"/>
      <c r="D51" s="203"/>
      <c r="E51" s="204">
        <f>COUNTIF(C$7:C$37,"P*b*")</f>
        <v>0</v>
      </c>
      <c r="F51" s="1"/>
      <c r="G51" s="49"/>
      <c r="H51" s="19"/>
      <c r="I51" s="19"/>
      <c r="K51" s="92"/>
      <c r="L51" s="92"/>
    </row>
    <row r="52" spans="2:12" x14ac:dyDescent="0.2">
      <c r="B52" s="205" t="str">
        <f>"Velferdspermisjon i "&amp;LOWER(J$2)&amp;":"</f>
        <v>Velferdspermisjon i juni:</v>
      </c>
      <c r="C52" s="1"/>
      <c r="D52" s="1"/>
      <c r="E52" s="206">
        <f>COUNTIF(C$7:C$37,"P*v*")</f>
        <v>0</v>
      </c>
      <c r="K52" s="92"/>
      <c r="L52" s="92"/>
    </row>
    <row r="53" spans="2:12" x14ac:dyDescent="0.2">
      <c r="B53" s="205" t="str">
        <f>"Annen permisjon i "&amp;LOWER(J$2)&amp;":"</f>
        <v>Annen permisjon i juni:</v>
      </c>
      <c r="C53" s="1"/>
      <c r="D53" s="1"/>
      <c r="E53" s="206">
        <f>COUNTIF(C$7:C$37,"P*a*")</f>
        <v>0</v>
      </c>
      <c r="J53" s="429"/>
      <c r="K53" s="92"/>
      <c r="L53" s="92"/>
    </row>
    <row r="54" spans="2:12" x14ac:dyDescent="0.2">
      <c r="B54" s="212" t="str">
        <f>J$1&amp;":"</f>
        <v>2014:</v>
      </c>
      <c r="C54" s="31"/>
      <c r="D54" s="31"/>
      <c r="E54" s="207">
        <f>Mai!$E$55+SUM(E51:E53)</f>
        <v>0</v>
      </c>
      <c r="J54" s="314" t="s">
        <v>233</v>
      </c>
      <c r="K54" s="92"/>
      <c r="L54" s="92"/>
    </row>
    <row r="55" spans="2:12" x14ac:dyDescent="0.2">
      <c r="K55" s="92"/>
      <c r="L55" s="92"/>
    </row>
  </sheetData>
  <sheetProtection selectLockedCells="1"/>
  <mergeCells count="16">
    <mergeCell ref="K5:L5"/>
    <mergeCell ref="F48:G48"/>
    <mergeCell ref="F49:G49"/>
    <mergeCell ref="B50:E50"/>
    <mergeCell ref="B39:E39"/>
    <mergeCell ref="B43:E43"/>
    <mergeCell ref="B47:E47"/>
    <mergeCell ref="F47:I47"/>
    <mergeCell ref="H48:I48"/>
    <mergeCell ref="H49:I49"/>
    <mergeCell ref="H42:I42"/>
    <mergeCell ref="H43:I43"/>
    <mergeCell ref="H5:I5"/>
    <mergeCell ref="H39:I39"/>
    <mergeCell ref="H40:I40"/>
    <mergeCell ref="H41:I41"/>
  </mergeCells>
  <phoneticPr fontId="0" type="noConversion"/>
  <conditionalFormatting sqref="G21:G36">
    <cfRule type="expression" dxfId="176" priority="1" stopIfTrue="1">
      <formula>WEEKDAY($B21,2)&gt;5</formula>
    </cfRule>
  </conditionalFormatting>
  <conditionalFormatting sqref="J7:L21">
    <cfRule type="expression" dxfId="175" priority="2" stopIfTrue="1">
      <formula>$B7=TODAY()</formula>
    </cfRule>
    <cfRule type="expression" dxfId="174" priority="3" stopIfTrue="1">
      <formula>OR(WEEKDAY($B7,2)&gt;5,LEFT($A7,1)=" ")</formula>
    </cfRule>
  </conditionalFormatting>
  <conditionalFormatting sqref="C7:F21 H7:I36">
    <cfRule type="expression" dxfId="173" priority="4" stopIfTrue="1">
      <formula>$B7=TODAY()</formula>
    </cfRule>
    <cfRule type="expression" dxfId="172" priority="5" stopIfTrue="1">
      <formula>OR(WEEKDAY($B7,2)&gt;5,LEFT($A7,1)=" ")</formula>
    </cfRule>
  </conditionalFormatting>
  <conditionalFormatting sqref="B7:B21">
    <cfRule type="expression" dxfId="171" priority="6" stopIfTrue="1">
      <formula>AND(B7=TODAY(),OR(WEEKDAY(B7,2)&gt;5,LEFT($A7,1)=" "))</formula>
    </cfRule>
    <cfRule type="expression" dxfId="170" priority="7" stopIfTrue="1">
      <formula>B7=TODAY()</formula>
    </cfRule>
    <cfRule type="expression" dxfId="169" priority="8" stopIfTrue="1">
      <formula>OR(WEEKDAY($B7,2)&gt;5,LEFT($A7,1)=" ")</formula>
    </cfRule>
  </conditionalFormatting>
  <conditionalFormatting sqref="B22:B36">
    <cfRule type="expression" dxfId="168" priority="9" stopIfTrue="1">
      <formula>AND(B22=TODAY(),WEEKDAY(B22,2)&gt;5)</formula>
    </cfRule>
    <cfRule type="expression" dxfId="167" priority="10" stopIfTrue="1">
      <formula>B22=TODAY()</formula>
    </cfRule>
    <cfRule type="expression" dxfId="166" priority="11" stopIfTrue="1">
      <formula>OR(WEEKDAY($B22,2)&gt;5,LEFT($A22,1)=" ")</formula>
    </cfRule>
  </conditionalFormatting>
  <conditionalFormatting sqref="C22:F36">
    <cfRule type="expression" dxfId="165" priority="12" stopIfTrue="1">
      <formula>$B22=TODAY()</formula>
    </cfRule>
    <cfRule type="expression" dxfId="164" priority="13" stopIfTrue="1">
      <formula>WEEKDAY($B22,2)&gt;5</formula>
    </cfRule>
  </conditionalFormatting>
  <conditionalFormatting sqref="J22:J36">
    <cfRule type="expression" dxfId="163" priority="14" stopIfTrue="1">
      <formula>$B22=TODAY()</formula>
    </cfRule>
    <cfRule type="expression" dxfId="162" priority="15" stopIfTrue="1">
      <formula>WEEKDAY($B22,2)&gt;5</formula>
    </cfRule>
  </conditionalFormatting>
  <conditionalFormatting sqref="A7">
    <cfRule type="expression" dxfId="161" priority="16" stopIfTrue="1">
      <formula>AND((TODAY()-WEEKDAY(TODAY(),2)+7)&gt;=B7,(TODAY()-WEEKDAY(TODAY(),2)&lt;B7))</formula>
    </cfRule>
  </conditionalFormatting>
  <conditionalFormatting sqref="A8:A36">
    <cfRule type="expression" dxfId="160" priority="17" stopIfTrue="1">
      <formula>(TODAY()-WEEKDAY(TODAY(),2)+1)=B8</formula>
    </cfRule>
  </conditionalFormatting>
  <conditionalFormatting sqref="G6">
    <cfRule type="expression" dxfId="159" priority="18" stopIfTrue="1">
      <formula>AND(H42&gt;-0.99,H42&lt;-0.01)</formula>
    </cfRule>
    <cfRule type="expression" dxfId="158" priority="19" stopIfTrue="1">
      <formula>H42&lt;=-2</formula>
    </cfRule>
    <cfRule type="expression" dxfId="157" priority="20" stopIfTrue="1">
      <formula>AND(H42&gt;-1.99,H42&lt;-1)</formula>
    </cfRule>
  </conditionalFormatting>
  <conditionalFormatting sqref="G7:G20">
    <cfRule type="expression" dxfId="156" priority="21" stopIfTrue="1">
      <formula>OR(WEEKDAY($B7,2)&gt;5,LEFT($A7,1)=" ")</formula>
    </cfRule>
  </conditionalFormatting>
  <conditionalFormatting sqref="N1">
    <cfRule type="expression" dxfId="155" priority="47" stopIfTrue="1">
      <formula>MONTH(B7)=MONTH(TODAY())</formula>
    </cfRule>
  </conditionalFormatting>
  <conditionalFormatting sqref="N2:N6">
    <cfRule type="expression" dxfId="154" priority="48" stopIfTrue="1">
      <formula>MONTH($B$7)=MONTH(TODAY())</formula>
    </cfRule>
  </conditionalFormatting>
  <conditionalFormatting sqref="H49">
    <cfRule type="cellIs" dxfId="153" priority="22" stopIfTrue="1" operator="greaterThan">
      <formula>22</formula>
    </cfRule>
  </conditionalFormatting>
  <conditionalFormatting sqref="H42">
    <cfRule type="cellIs" dxfId="152" priority="23" stopIfTrue="1" operator="between">
      <formula>-0.4</formula>
      <formula>-0.9999999</formula>
    </cfRule>
    <cfRule type="cellIs" dxfId="151" priority="24" stopIfTrue="1" operator="lessThanOrEqual">
      <formula>-2</formula>
    </cfRule>
    <cfRule type="cellIs" dxfId="150" priority="25" stopIfTrue="1" operator="between">
      <formula>-1</formula>
      <formula>-1.99999999</formula>
    </cfRule>
  </conditionalFormatting>
  <conditionalFormatting sqref="K38">
    <cfRule type="expression" dxfId="149" priority="53" stopIfTrue="1">
      <formula>K37&lt;=0</formula>
    </cfRule>
  </conditionalFormatting>
  <conditionalFormatting sqref="L38">
    <cfRule type="expression" dxfId="148" priority="54" stopIfTrue="1">
      <formula>OR(K37&lt;=0,N37&lt;=0)</formula>
    </cfRule>
  </conditionalFormatting>
  <conditionalFormatting sqref="K37:L37">
    <cfRule type="cellIs" dxfId="147" priority="55" stopIfTrue="1" operator="lessThanOrEqual">
      <formula>0</formula>
    </cfRule>
  </conditionalFormatting>
  <conditionalFormatting sqref="K22:L36">
    <cfRule type="expression" dxfId="146" priority="56" stopIfTrue="1">
      <formula>$B22=TODAY()</formula>
    </cfRule>
    <cfRule type="expression" dxfId="145" priority="57" stopIfTrue="1">
      <formula>WEEKDAY($B22,2)&gt;5</formula>
    </cfRule>
  </conditionalFormatting>
  <conditionalFormatting sqref="N38">
    <cfRule type="expression" dxfId="144" priority="58" stopIfTrue="1">
      <formula>N37&lt;=0</formula>
    </cfRule>
  </conditionalFormatting>
  <pageMargins left="0.78740157480314965" right="0.19685039370078741" top="0.78740157480314965" bottom="0.98425196850393704" header="0.51181102362204722" footer="0.51181102362204722"/>
  <pageSetup paperSize="9" orientation="portrait" r:id="rId1"/>
  <headerFooter alignWithMargins="0">
    <oddFooter>&amp;R&amp;7ghe&amp;G 2011</oddFooter>
  </headerFooter>
  <ignoredErrors>
    <ignoredError sqref="J7:J21 J23:J36 H7:H21 H22:H36 J22" unlockedFormula="1"/>
  </ignoredErrors>
  <drawing r:id="rId2"/>
  <legacyDrawing r:id="rId3"/>
  <legacyDrawingHF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9" enableFormatConditionsCalculation="0">
    <tabColor indexed="57"/>
  </sheetPr>
  <dimension ref="A1:Z55"/>
  <sheetViews>
    <sheetView showGridLines="0" workbookViewId="0">
      <pane ySplit="6" topLeftCell="A7" activePane="bottomLeft" state="frozenSplit"/>
      <selection pane="bottomLeft" activeCell="C7" sqref="C7"/>
    </sheetView>
  </sheetViews>
  <sheetFormatPr baseColWidth="10" defaultColWidth="9.140625" defaultRowHeight="12.75" x14ac:dyDescent="0.2"/>
  <cols>
    <col min="1" max="1" width="2.7109375" style="149" customWidth="1"/>
    <col min="2" max="2" width="7.5703125" customWidth="1"/>
    <col min="3" max="5" width="9.140625" customWidth="1"/>
    <col min="6" max="6" width="8.5703125" customWidth="1"/>
    <col min="7" max="7" width="7.140625" style="41" customWidth="1"/>
    <col min="8" max="8" width="5" style="8" customWidth="1"/>
    <col min="9" max="9" width="3.42578125" style="8" customWidth="1"/>
    <col min="10" max="10" width="31.42578125" style="10" customWidth="1"/>
    <col min="11" max="12" width="4.7109375" customWidth="1"/>
    <col min="13" max="13" width="1.85546875" style="92" customWidth="1"/>
    <col min="14" max="14" width="20.28515625" customWidth="1"/>
    <col min="15" max="15" width="1.7109375" customWidth="1"/>
    <col min="16" max="16" width="8.85546875" style="244" customWidth="1"/>
    <col min="17" max="26" width="9.140625" style="244"/>
  </cols>
  <sheetData>
    <row r="1" spans="1:26" s="92" customFormat="1" x14ac:dyDescent="0.2">
      <c r="A1" s="133"/>
      <c r="G1" s="347"/>
      <c r="H1" s="348"/>
      <c r="I1" s="348"/>
      <c r="J1" s="349">
        <f>Info!$E$1</f>
        <v>2014</v>
      </c>
      <c r="N1" s="325"/>
    </row>
    <row r="2" spans="1:26" s="92" customFormat="1" ht="23.25" x14ac:dyDescent="0.35">
      <c r="A2" s="350"/>
      <c r="B2" s="387"/>
      <c r="C2" s="387"/>
      <c r="D2" s="388"/>
      <c r="E2" s="388"/>
      <c r="F2" s="389" t="str">
        <f>Info!C41</f>
        <v>Fleksitid</v>
      </c>
      <c r="G2" s="390"/>
      <c r="H2" s="387"/>
      <c r="I2" s="387"/>
      <c r="J2" s="391" t="s">
        <v>16</v>
      </c>
      <c r="N2" s="325"/>
    </row>
    <row r="3" spans="1:26" s="92" customFormat="1" ht="17.25" customHeight="1" x14ac:dyDescent="0.2">
      <c r="A3" s="133"/>
      <c r="B3" s="356"/>
      <c r="C3" s="357"/>
      <c r="D3" s="358"/>
      <c r="E3" s="359"/>
      <c r="F3" s="360">
        <f>Info!$C$5</f>
        <v>0</v>
      </c>
      <c r="G3" s="361"/>
      <c r="H3" s="362"/>
      <c r="I3" s="362"/>
      <c r="J3" s="314"/>
      <c r="N3" s="325"/>
    </row>
    <row r="4" spans="1:26" s="92" customFormat="1" ht="15" customHeight="1" thickBot="1" x14ac:dyDescent="0.25">
      <c r="A4" s="133"/>
      <c r="B4" s="363"/>
      <c r="C4" s="364"/>
      <c r="D4" s="365"/>
      <c r="E4" s="366"/>
      <c r="F4" s="367">
        <f>Info!$C$6</f>
        <v>0</v>
      </c>
      <c r="G4" s="368"/>
      <c r="H4" s="366"/>
      <c r="I4" s="366"/>
      <c r="J4" s="365"/>
      <c r="N4" s="325"/>
    </row>
    <row r="5" spans="1:26" x14ac:dyDescent="0.2">
      <c r="B5" s="3"/>
      <c r="C5" s="4" t="s">
        <v>0</v>
      </c>
      <c r="D5" s="4"/>
      <c r="E5" s="4" t="s">
        <v>1</v>
      </c>
      <c r="F5" s="4"/>
      <c r="G5" s="42"/>
      <c r="H5" s="468" t="s">
        <v>208</v>
      </c>
      <c r="I5" s="469"/>
      <c r="J5" s="9" t="s">
        <v>6</v>
      </c>
      <c r="K5" s="462" t="s">
        <v>216</v>
      </c>
      <c r="L5" s="463"/>
      <c r="M5" s="326"/>
      <c r="N5" s="11"/>
    </row>
    <row r="6" spans="1:26" ht="13.5" thickBot="1" x14ac:dyDescent="0.25">
      <c r="B6" s="5" t="s">
        <v>2</v>
      </c>
      <c r="C6" s="6" t="s">
        <v>3</v>
      </c>
      <c r="D6" s="6" t="s">
        <v>4</v>
      </c>
      <c r="E6" s="6" t="s">
        <v>3</v>
      </c>
      <c r="F6" s="6" t="s">
        <v>4</v>
      </c>
      <c r="G6" s="188" t="s">
        <v>139</v>
      </c>
      <c r="H6" s="6" t="s">
        <v>4</v>
      </c>
      <c r="I6" s="308" t="s">
        <v>207</v>
      </c>
      <c r="J6" s="172" t="str">
        <f>"Fleksi"&amp;IF(E43&lt;Info!D10,"tid: "&amp;IF(E43&lt;0,"-","")&amp;ABS(F43)&amp;":"&amp;ABS(ROUND(G43,)),"dager: "&amp;ROUND(H$43,1)&amp;IF(Info!C47="Ja"," ("&amp;ROUND(H$44,1)&amp;")",""))&amp;"   Ferie: "&amp;E$47</f>
        <v>Fleksitid: 0:0   Ferie: 0</v>
      </c>
      <c r="K6" s="320" t="s">
        <v>4</v>
      </c>
      <c r="L6" s="322" t="s">
        <v>215</v>
      </c>
      <c r="M6" s="133"/>
      <c r="N6" s="11"/>
    </row>
    <row r="7" spans="1:26" s="11" customFormat="1" x14ac:dyDescent="0.2">
      <c r="A7" s="148">
        <f>IF(WEEKDAY(B7,2)&lt;6,INT((B7-(DATE(YEAR(B7+(MOD(8-WEEKDAY(B7),7)-3)),1,1))-3+
MOD(WEEKDAY(DATE(YEAR(B7+(MOD(8-WEEKDAY(B7),7)-3)),1,1))+1,7))/7)+1,"")</f>
        <v>27</v>
      </c>
      <c r="B7" s="68">
        <f>DATE(Info!$E$1,7,1)</f>
        <v>41821</v>
      </c>
      <c r="C7" s="59"/>
      <c r="D7" s="59"/>
      <c r="E7" s="59"/>
      <c r="F7" s="59"/>
      <c r="G7" s="44">
        <f>IF(AND(WEEKDAY(B7,2)&gt;5,$C7=""),"",IF(E7&gt;0,(E7*60+F7)-(C7*60+D7)-H7+TRUNC(Info!$D$10*(I7/100)),IF(MID(C7,1,2)="Fl",0,Info!AH41))-Info!AH41)</f>
        <v>0</v>
      </c>
      <c r="H7" s="185">
        <f>IF(AND(Info!$C$46&gt;0,$E7&gt;$C7),Info!$C$46,)</f>
        <v>0</v>
      </c>
      <c r="I7" s="185"/>
      <c r="J7" s="175" t="str">
        <f>Info!AH7</f>
        <v/>
      </c>
      <c r="K7" s="323"/>
      <c r="L7" s="338"/>
      <c r="M7" s="327"/>
      <c r="P7" s="243"/>
      <c r="Q7" s="243"/>
      <c r="R7" s="243"/>
      <c r="S7" s="243"/>
      <c r="T7" s="243"/>
      <c r="U7" s="243"/>
      <c r="V7" s="243"/>
      <c r="W7" s="243"/>
      <c r="X7" s="243"/>
      <c r="Y7" s="243"/>
      <c r="Z7" s="243"/>
    </row>
    <row r="8" spans="1:26" s="11" customFormat="1" x14ac:dyDescent="0.2">
      <c r="A8" s="148" t="str">
        <f t="shared" ref="A8:A37" si="0">IF(WEEKDAY(B8,2)=1,INT((B8-(DATE(YEAR(B8+(MOD(8-WEEKDAY(B8),7)-3)),1,1))-3+
MOD(WEEKDAY(DATE(YEAR(B8+(MOD(8-WEEKDAY(B8),7)-3)),1,1))+1,7))/7)+1,"")</f>
        <v/>
      </c>
      <c r="B8" s="68">
        <f t="shared" ref="B8:B37" si="1">B7+1</f>
        <v>41822</v>
      </c>
      <c r="C8" s="59"/>
      <c r="D8" s="59"/>
      <c r="E8" s="59"/>
      <c r="F8" s="59"/>
      <c r="G8" s="44">
        <f>IF(AND(WEEKDAY(B8,2)&gt;5,$C8=""),"",IF(E8&gt;0,(E8*60+F8)-(C8*60+D8)-H8+TRUNC(Info!$D$10*(I8/100)),IF(MID(C8,1,2)="Fl",0,Info!AH42))-Info!AH42)</f>
        <v>0</v>
      </c>
      <c r="H8" s="185">
        <f>IF(AND(Info!$C$46&gt;0,$E8&gt;$C8),Info!$C$46,)</f>
        <v>0</v>
      </c>
      <c r="I8" s="185"/>
      <c r="J8" s="175" t="str">
        <f>Info!AH8</f>
        <v/>
      </c>
      <c r="K8" s="323"/>
      <c r="L8" s="338"/>
      <c r="M8" s="327"/>
      <c r="P8" s="243"/>
      <c r="Q8" s="243"/>
      <c r="R8" s="243"/>
      <c r="S8" s="243"/>
      <c r="T8" s="243"/>
      <c r="U8" s="243"/>
      <c r="V8" s="243"/>
      <c r="W8" s="243"/>
      <c r="X8" s="243"/>
      <c r="Y8" s="243"/>
      <c r="Z8" s="243"/>
    </row>
    <row r="9" spans="1:26" s="11" customFormat="1" x14ac:dyDescent="0.2">
      <c r="A9" s="148" t="str">
        <f t="shared" si="0"/>
        <v/>
      </c>
      <c r="B9" s="68">
        <f t="shared" si="1"/>
        <v>41823</v>
      </c>
      <c r="C9" s="59"/>
      <c r="D9" s="59"/>
      <c r="E9" s="59"/>
      <c r="F9" s="59"/>
      <c r="G9" s="44">
        <f>IF(AND(WEEKDAY(B9,2)&gt;5,$C9=""),"",IF(E9&gt;0,(E9*60+F9)-(C9*60+D9)-H9+TRUNC(Info!$D$10*(I9/100)),IF(MID(C9,1,2)="Fl",0,Info!AH43))-Info!AH43)</f>
        <v>0</v>
      </c>
      <c r="H9" s="185">
        <f>IF(AND(Info!$C$46&gt;0,$E9&gt;$C9),Info!$C$46,)</f>
        <v>0</v>
      </c>
      <c r="I9" s="185"/>
      <c r="J9" s="175" t="str">
        <f>Info!AH9</f>
        <v/>
      </c>
      <c r="K9" s="323"/>
      <c r="L9" s="338"/>
      <c r="M9" s="327"/>
      <c r="P9" s="243"/>
      <c r="Q9" s="243"/>
      <c r="R9" s="243"/>
      <c r="S9" s="243"/>
      <c r="T9" s="243"/>
      <c r="U9" s="243"/>
      <c r="V9" s="243"/>
      <c r="W9" s="243"/>
      <c r="X9" s="243"/>
      <c r="Y9" s="243"/>
      <c r="Z9" s="243"/>
    </row>
    <row r="10" spans="1:26" s="11" customFormat="1" x14ac:dyDescent="0.2">
      <c r="A10" s="148" t="str">
        <f t="shared" si="0"/>
        <v/>
      </c>
      <c r="B10" s="68">
        <f t="shared" si="1"/>
        <v>41824</v>
      </c>
      <c r="C10" s="59"/>
      <c r="D10" s="59"/>
      <c r="E10" s="59"/>
      <c r="F10" s="59"/>
      <c r="G10" s="44">
        <f>IF(AND(WEEKDAY(B10,2)&gt;5,$C10=""),"",IF(E10&gt;0,(E10*60+F10)-(C10*60+D10)-H10+TRUNC(Info!$D$10*(I10/100)),IF(MID(C10,1,2)="Fl",0,Info!AH44))-Info!AH44)</f>
        <v>0</v>
      </c>
      <c r="H10" s="185">
        <f>IF(AND(Info!$C$46&gt;0,$E10&gt;$C10),Info!$C$46,)</f>
        <v>0</v>
      </c>
      <c r="I10" s="185"/>
      <c r="J10" s="175" t="str">
        <f>Info!AH10</f>
        <v>Sonja 77</v>
      </c>
      <c r="K10" s="323"/>
      <c r="L10" s="338"/>
      <c r="M10" s="327"/>
      <c r="P10" s="243"/>
      <c r="Q10" s="243"/>
      <c r="R10" s="243"/>
      <c r="S10" s="243"/>
      <c r="T10" s="243"/>
      <c r="U10" s="243"/>
      <c r="V10" s="243"/>
      <c r="W10" s="243"/>
      <c r="X10" s="243"/>
      <c r="Y10" s="243"/>
      <c r="Z10" s="243"/>
    </row>
    <row r="11" spans="1:26" s="11" customFormat="1" x14ac:dyDescent="0.2">
      <c r="A11" s="148" t="str">
        <f t="shared" si="0"/>
        <v/>
      </c>
      <c r="B11" s="68">
        <f t="shared" si="1"/>
        <v>41825</v>
      </c>
      <c r="C11" s="59"/>
      <c r="D11" s="59"/>
      <c r="E11" s="59"/>
      <c r="F11" s="59"/>
      <c r="G11" s="44" t="str">
        <f>IF(AND(WEEKDAY(B11,2)&gt;5,$C11=""),"",IF(E11&gt;0,(E11*60+F11)-(C11*60+D11)-H11+TRUNC(Info!$D$10*(I11/100)),IF(MID(C11,1,2)="Fl",0,Info!AH45))-Info!AH45)</f>
        <v/>
      </c>
      <c r="H11" s="185">
        <f>IF(AND(Info!$C$46&gt;0,$E11&gt;$C11),Info!$C$46,)</f>
        <v>0</v>
      </c>
      <c r="I11" s="185"/>
      <c r="J11" s="175" t="str">
        <f>Info!AH11</f>
        <v/>
      </c>
      <c r="K11" s="323"/>
      <c r="L11" s="338"/>
      <c r="M11" s="328"/>
      <c r="P11" s="243"/>
      <c r="Q11" s="243"/>
      <c r="R11" s="243"/>
      <c r="S11" s="243"/>
      <c r="T11" s="243"/>
      <c r="U11" s="243"/>
      <c r="V11" s="243"/>
      <c r="W11" s="243"/>
      <c r="X11" s="243"/>
      <c r="Y11" s="243"/>
      <c r="Z11" s="243"/>
    </row>
    <row r="12" spans="1:26" x14ac:dyDescent="0.2">
      <c r="A12" s="148" t="str">
        <f t="shared" si="0"/>
        <v/>
      </c>
      <c r="B12" s="68">
        <f t="shared" si="1"/>
        <v>41826</v>
      </c>
      <c r="C12" s="59"/>
      <c r="D12" s="59"/>
      <c r="E12" s="59"/>
      <c r="F12" s="59"/>
      <c r="G12" s="44" t="str">
        <f>IF(AND(WEEKDAY(B12,2)&gt;5,$C12=""),"",IF(E12&gt;0,(E12*60+F12)-(C12*60+D12)-H12+TRUNC(Info!$D$10*(I12/100)),IF(MID(C12,1,2)="Fl",0,Info!AH46))-Info!AH46)</f>
        <v/>
      </c>
      <c r="H12" s="185">
        <f>IF(AND(Info!$C$46&gt;0,$E12&gt;$C12),Info!$C$46,)</f>
        <v>0</v>
      </c>
      <c r="I12" s="185"/>
      <c r="J12" s="175" t="str">
        <f>Info!AH12</f>
        <v/>
      </c>
      <c r="K12" s="323"/>
      <c r="L12" s="338"/>
      <c r="M12" s="140"/>
    </row>
    <row r="13" spans="1:26" s="11" customFormat="1" x14ac:dyDescent="0.2">
      <c r="A13" s="148">
        <f t="shared" si="0"/>
        <v>28</v>
      </c>
      <c r="B13" s="68">
        <f t="shared" si="1"/>
        <v>41827</v>
      </c>
      <c r="C13" s="59"/>
      <c r="D13" s="59"/>
      <c r="E13" s="59"/>
      <c r="F13" s="59"/>
      <c r="G13" s="44">
        <f>IF(AND(WEEKDAY(B13,2)&gt;5,$C13=""),"",IF(E13&gt;0,(E13*60+F13)-(C13*60+D13)-H13+TRUNC(Info!$D$10*(I13/100)),IF(MID(C13,1,2)="Fl",0,Info!AH47))-Info!AH47)</f>
        <v>0</v>
      </c>
      <c r="H13" s="185">
        <f>IF(AND(Info!$C$46&gt;0,$E13&gt;$C13),Info!$C$46,)</f>
        <v>0</v>
      </c>
      <c r="I13" s="185"/>
      <c r="J13" s="175" t="str">
        <f>Info!AH13</f>
        <v/>
      </c>
      <c r="K13" s="323"/>
      <c r="L13" s="338"/>
      <c r="M13" s="327"/>
      <c r="P13" s="243"/>
      <c r="Q13" s="243"/>
      <c r="R13" s="243"/>
      <c r="S13" s="243"/>
      <c r="T13" s="243"/>
      <c r="U13" s="243"/>
      <c r="V13" s="243"/>
      <c r="W13" s="243"/>
      <c r="X13" s="243"/>
      <c r="Y13" s="243"/>
      <c r="Z13" s="243"/>
    </row>
    <row r="14" spans="1:26" s="11" customFormat="1" x14ac:dyDescent="0.2">
      <c r="A14" s="148" t="str">
        <f t="shared" si="0"/>
        <v/>
      </c>
      <c r="B14" s="68">
        <f t="shared" si="1"/>
        <v>41828</v>
      </c>
      <c r="C14" s="59"/>
      <c r="D14" s="59"/>
      <c r="E14" s="59"/>
      <c r="F14" s="59"/>
      <c r="G14" s="44">
        <f>IF(AND(WEEKDAY(B14,2)&gt;5,$C14=""),"",IF(E14&gt;0,(E14*60+F14)-(C14*60+D14)-H14+TRUNC(Info!$D$10*(I14/100)),IF(MID(C14,1,2)="Fl",0,Info!AH48))-Info!AH48)</f>
        <v>0</v>
      </c>
      <c r="H14" s="185">
        <f>IF(AND(Info!$C$46&gt;0,$E14&gt;$C14),Info!$C$46,)</f>
        <v>0</v>
      </c>
      <c r="I14" s="185"/>
      <c r="J14" s="175" t="str">
        <f>Info!AH14</f>
        <v/>
      </c>
      <c r="K14" s="323"/>
      <c r="L14" s="338"/>
      <c r="M14" s="327"/>
      <c r="P14" s="243"/>
      <c r="Q14" s="243"/>
      <c r="R14" s="243"/>
      <c r="S14" s="243"/>
      <c r="T14" s="243"/>
      <c r="U14" s="243"/>
      <c r="V14" s="243"/>
      <c r="W14" s="243"/>
      <c r="X14" s="243"/>
      <c r="Y14" s="243"/>
      <c r="Z14" s="243"/>
    </row>
    <row r="15" spans="1:26" s="11" customFormat="1" x14ac:dyDescent="0.2">
      <c r="A15" s="148" t="str">
        <f t="shared" si="0"/>
        <v/>
      </c>
      <c r="B15" s="68">
        <f t="shared" si="1"/>
        <v>41829</v>
      </c>
      <c r="C15" s="59"/>
      <c r="D15" s="59"/>
      <c r="E15" s="59"/>
      <c r="F15" s="59"/>
      <c r="G15" s="44">
        <f>IF(AND(WEEKDAY(B15,2)&gt;5,$C15=""),"",IF(E15&gt;0,(E15*60+F15)-(C15*60+D15)-H15+TRUNC(Info!$D$10*(I15/100)),IF(MID(C15,1,2)="Fl",0,Info!AH49))-Info!AH49)</f>
        <v>0</v>
      </c>
      <c r="H15" s="185">
        <f>IF(AND(Info!$C$46&gt;0,$E15&gt;$C15),Info!$C$46,)</f>
        <v>0</v>
      </c>
      <c r="I15" s="185"/>
      <c r="J15" s="175" t="str">
        <f>Info!AH15</f>
        <v/>
      </c>
      <c r="K15" s="323"/>
      <c r="L15" s="338"/>
      <c r="M15" s="327"/>
      <c r="P15" s="243"/>
      <c r="Q15" s="243"/>
      <c r="R15" s="243"/>
      <c r="S15" s="243"/>
      <c r="T15" s="243"/>
      <c r="U15" s="243"/>
      <c r="V15" s="243"/>
      <c r="W15" s="243"/>
      <c r="X15" s="243"/>
      <c r="Y15" s="243"/>
      <c r="Z15" s="243"/>
    </row>
    <row r="16" spans="1:26" s="11" customFormat="1" x14ac:dyDescent="0.2">
      <c r="A16" s="148" t="str">
        <f t="shared" si="0"/>
        <v/>
      </c>
      <c r="B16" s="68">
        <f t="shared" si="1"/>
        <v>41830</v>
      </c>
      <c r="C16" s="59"/>
      <c r="D16" s="59"/>
      <c r="E16" s="59"/>
      <c r="F16" s="59"/>
      <c r="G16" s="44">
        <f>IF(AND(WEEKDAY(B16,2)&gt;5,$C16=""),"",IF(E16&gt;0,(E16*60+F16)-(C16*60+D16)-H16+TRUNC(Info!$D$10*(I16/100)),IF(MID(C16,1,2)="Fl",0,Info!AH50))-Info!AH50)</f>
        <v>0</v>
      </c>
      <c r="H16" s="185">
        <f>IF(AND(Info!$C$46&gt;0,$E16&gt;$C16),Info!$C$46,)</f>
        <v>0</v>
      </c>
      <c r="I16" s="185"/>
      <c r="J16" s="175" t="str">
        <f>Info!AH16</f>
        <v/>
      </c>
      <c r="K16" s="323"/>
      <c r="L16" s="338"/>
      <c r="M16" s="327"/>
      <c r="P16" s="243"/>
      <c r="Q16" s="243"/>
      <c r="R16" s="243"/>
      <c r="S16" s="243"/>
      <c r="T16" s="243"/>
      <c r="U16" s="243"/>
      <c r="V16" s="243"/>
      <c r="W16" s="243"/>
      <c r="X16" s="243"/>
      <c r="Y16" s="243"/>
      <c r="Z16" s="243"/>
    </row>
    <row r="17" spans="1:26" s="11" customFormat="1" x14ac:dyDescent="0.2">
      <c r="A17" s="148" t="str">
        <f t="shared" si="0"/>
        <v/>
      </c>
      <c r="B17" s="68">
        <f t="shared" si="1"/>
        <v>41831</v>
      </c>
      <c r="C17" s="59"/>
      <c r="D17" s="59"/>
      <c r="E17" s="59"/>
      <c r="F17" s="59"/>
      <c r="G17" s="44">
        <f>IF(AND(WEEKDAY(B17,2)&gt;5,$C17=""),"",IF(E17&gt;0,(E17*60+F17)-(C17*60+D17)-H17+TRUNC(Info!$D$10*(I17/100)),IF(MID(C17,1,2)="Fl",0,Info!AH51))-Info!AH51)</f>
        <v>0</v>
      </c>
      <c r="H17" s="185">
        <f>IF(AND(Info!$C$46&gt;0,$E17&gt;$C17),Info!$C$46,)</f>
        <v>0</v>
      </c>
      <c r="I17" s="185"/>
      <c r="J17" s="175" t="str">
        <f>Info!AH17</f>
        <v/>
      </c>
      <c r="K17" s="323"/>
      <c r="L17" s="338"/>
      <c r="M17" s="327"/>
      <c r="P17" s="243"/>
      <c r="Q17" s="243"/>
      <c r="R17" s="243"/>
      <c r="S17" s="243"/>
      <c r="T17" s="243"/>
      <c r="U17" s="243"/>
      <c r="V17" s="243"/>
      <c r="W17" s="243"/>
      <c r="X17" s="243"/>
      <c r="Y17" s="243"/>
      <c r="Z17" s="243"/>
    </row>
    <row r="18" spans="1:26" s="11" customFormat="1" x14ac:dyDescent="0.2">
      <c r="A18" s="148" t="str">
        <f t="shared" si="0"/>
        <v/>
      </c>
      <c r="B18" s="68">
        <f t="shared" si="1"/>
        <v>41832</v>
      </c>
      <c r="C18" s="59"/>
      <c r="D18" s="59"/>
      <c r="E18" s="59"/>
      <c r="F18" s="59"/>
      <c r="G18" s="44" t="str">
        <f>IF(AND(WEEKDAY(B18,2)&gt;5,$C18=""),"",IF(E18&gt;0,(E18*60+F18)-(C18*60+D18)-H18+TRUNC(Info!$D$10*(I18/100)),IF(MID(C18,1,2)="Fl",0,Info!AH52))-Info!AH52)</f>
        <v/>
      </c>
      <c r="H18" s="185">
        <f>IF(AND(Info!$C$46&gt;0,$E18&gt;$C18),Info!$C$46,)</f>
        <v>0</v>
      </c>
      <c r="I18" s="185"/>
      <c r="J18" s="175" t="str">
        <f>Info!AH18</f>
        <v/>
      </c>
      <c r="K18" s="323"/>
      <c r="L18" s="338"/>
      <c r="M18" s="327"/>
      <c r="P18" s="243"/>
      <c r="Q18" s="243"/>
      <c r="R18" s="243"/>
      <c r="S18" s="243"/>
      <c r="T18" s="243"/>
      <c r="U18" s="243"/>
      <c r="V18" s="243"/>
      <c r="W18" s="243"/>
      <c r="X18" s="243"/>
      <c r="Y18" s="243"/>
      <c r="Z18" s="243"/>
    </row>
    <row r="19" spans="1:26" s="11" customFormat="1" x14ac:dyDescent="0.2">
      <c r="A19" s="148" t="str">
        <f t="shared" si="0"/>
        <v/>
      </c>
      <c r="B19" s="68">
        <f t="shared" si="1"/>
        <v>41833</v>
      </c>
      <c r="C19" s="59"/>
      <c r="D19" s="59"/>
      <c r="E19" s="59"/>
      <c r="F19" s="59"/>
      <c r="G19" s="44" t="str">
        <f>IF(AND(WEEKDAY(B19,2)&gt;5,$C19=""),"",IF(E19&gt;0,(E19*60+F19)-(C19*60+D19)-H19+TRUNC(Info!$D$10*(I19/100)),IF(MID(C19,1,2)="Fl",0,Info!AH53))-Info!AH53)</f>
        <v/>
      </c>
      <c r="H19" s="185">
        <f>IF(AND(Info!$C$46&gt;0,$E19&gt;$C19),Info!$C$46,)</f>
        <v>0</v>
      </c>
      <c r="I19" s="185"/>
      <c r="J19" s="175" t="str">
        <f>Info!AH19</f>
        <v/>
      </c>
      <c r="K19" s="323"/>
      <c r="L19" s="338"/>
      <c r="M19" s="327"/>
      <c r="P19" s="243"/>
      <c r="Q19" s="243"/>
      <c r="R19" s="243"/>
      <c r="S19" s="243"/>
      <c r="T19" s="243"/>
      <c r="U19" s="243"/>
      <c r="V19" s="243"/>
      <c r="W19" s="243"/>
      <c r="X19" s="243"/>
      <c r="Y19" s="243"/>
      <c r="Z19" s="243"/>
    </row>
    <row r="20" spans="1:26" s="11" customFormat="1" x14ac:dyDescent="0.2">
      <c r="A20" s="148">
        <f t="shared" si="0"/>
        <v>29</v>
      </c>
      <c r="B20" s="68">
        <f t="shared" si="1"/>
        <v>41834</v>
      </c>
      <c r="C20" s="59"/>
      <c r="D20" s="59"/>
      <c r="E20" s="59"/>
      <c r="F20" s="59"/>
      <c r="G20" s="44">
        <f>IF(AND(WEEKDAY(B20,2)&gt;5,$C20=""),"",IF(E20&gt;0,(E20*60+F20)-(C20*60+D20)-H20+TRUNC(Info!$D$10*(I20/100)),IF(MID(C20,1,2)="Fl",0,Info!AH54))-Info!AH54)</f>
        <v>0</v>
      </c>
      <c r="H20" s="185">
        <f>IF(AND(Info!$C$46&gt;0,$E20&gt;$C20),Info!$C$46,)</f>
        <v>0</v>
      </c>
      <c r="I20" s="185"/>
      <c r="J20" s="175" t="str">
        <f>Info!AH20</f>
        <v/>
      </c>
      <c r="K20" s="323"/>
      <c r="L20" s="338"/>
      <c r="M20" s="327"/>
      <c r="P20" s="243"/>
      <c r="Q20" s="243"/>
      <c r="R20" s="243"/>
      <c r="S20" s="243"/>
      <c r="T20" s="243"/>
      <c r="U20" s="243"/>
      <c r="V20" s="243"/>
      <c r="W20" s="243"/>
      <c r="X20" s="243"/>
      <c r="Y20" s="243"/>
      <c r="Z20" s="243"/>
    </row>
    <row r="21" spans="1:26" s="11" customFormat="1" x14ac:dyDescent="0.2">
      <c r="A21" s="148" t="str">
        <f t="shared" si="0"/>
        <v/>
      </c>
      <c r="B21" s="68">
        <f t="shared" si="1"/>
        <v>41835</v>
      </c>
      <c r="C21" s="59"/>
      <c r="D21" s="59"/>
      <c r="E21" s="59"/>
      <c r="F21" s="59"/>
      <c r="G21" s="44">
        <f>IF(AND(WEEKDAY(B21,2)&gt;5,$C21=""),"",IF(E21&gt;0,(E21*60+F21)-(C21*60+D21)-H21+TRUNC(Info!$D$10*(I21/100)),IF(MID(C21,1,2)="Fl",0,Info!AH55))-Info!AH55)</f>
        <v>0</v>
      </c>
      <c r="H21" s="185">
        <f>IF(AND(Info!$C$46&gt;0,$E21&gt;$C21),Info!$C$46,)</f>
        <v>0</v>
      </c>
      <c r="I21" s="185"/>
      <c r="J21" s="175" t="str">
        <f>Info!AH21</f>
        <v/>
      </c>
      <c r="K21" s="323"/>
      <c r="L21" s="338"/>
      <c r="M21" s="327"/>
      <c r="P21" s="243"/>
      <c r="Q21" s="243"/>
      <c r="R21" s="243"/>
      <c r="S21" s="243"/>
      <c r="T21" s="243"/>
      <c r="U21" s="243"/>
      <c r="V21" s="243"/>
      <c r="W21" s="243"/>
      <c r="X21" s="243"/>
      <c r="Y21" s="243"/>
      <c r="Z21" s="243"/>
    </row>
    <row r="22" spans="1:26" s="11" customFormat="1" x14ac:dyDescent="0.2">
      <c r="A22" s="148" t="str">
        <f t="shared" si="0"/>
        <v/>
      </c>
      <c r="B22" s="68">
        <f t="shared" si="1"/>
        <v>41836</v>
      </c>
      <c r="C22" s="59"/>
      <c r="D22" s="59"/>
      <c r="E22" s="59"/>
      <c r="F22" s="59"/>
      <c r="G22" s="44">
        <f>IF(AND(WEEKDAY(B22,2)&gt;5,$C22=""),"",IF(E22&gt;0,(E22*60+F22)-(C22*60+D22)-H22+TRUNC(Info!$D$10*(I22/100)),IF(MID(C22,1,2)="Fl",0,Info!AH56))-Info!AH56)</f>
        <v>0</v>
      </c>
      <c r="H22" s="185">
        <f>IF(AND(Info!$C$46&gt;0,$E22&gt;$C22),Info!$C$46,)</f>
        <v>0</v>
      </c>
      <c r="I22" s="185"/>
      <c r="J22" s="175" t="str">
        <f>Info!AH22</f>
        <v/>
      </c>
      <c r="K22" s="323"/>
      <c r="L22" s="338"/>
      <c r="M22" s="327"/>
      <c r="P22" s="243"/>
      <c r="Q22" s="243"/>
      <c r="R22" s="243"/>
      <c r="S22" s="243"/>
      <c r="T22" s="243"/>
      <c r="U22" s="243"/>
      <c r="V22" s="243"/>
      <c r="W22" s="243"/>
      <c r="X22" s="243"/>
      <c r="Y22" s="243"/>
      <c r="Z22" s="243"/>
    </row>
    <row r="23" spans="1:26" s="11" customFormat="1" x14ac:dyDescent="0.2">
      <c r="A23" s="148" t="str">
        <f t="shared" si="0"/>
        <v/>
      </c>
      <c r="B23" s="68">
        <f t="shared" si="1"/>
        <v>41837</v>
      </c>
      <c r="C23" s="59"/>
      <c r="D23" s="59"/>
      <c r="E23" s="59"/>
      <c r="F23" s="59"/>
      <c r="G23" s="44">
        <f>IF(AND(WEEKDAY(B23,2)&gt;5,$C23=""),"",IF(E23&gt;0,(E23*60+F23)-(C23*60+D23)-H23+TRUNC(Info!$D$10*(I23/100)),IF(MID(C23,1,2)="Fl",0,Info!AH57))-Info!AH57)</f>
        <v>0</v>
      </c>
      <c r="H23" s="185">
        <f>IF(AND(Info!$C$46&gt;0,$E23&gt;$C23),Info!$C$46,)</f>
        <v>0</v>
      </c>
      <c r="I23" s="185"/>
      <c r="J23" s="175" t="str">
        <f>Info!AH23</f>
        <v/>
      </c>
      <c r="K23" s="323"/>
      <c r="L23" s="338"/>
      <c r="M23" s="327"/>
      <c r="P23" s="243"/>
      <c r="Q23" s="243"/>
      <c r="R23" s="243"/>
      <c r="S23" s="243"/>
      <c r="T23" s="243"/>
      <c r="U23" s="243"/>
      <c r="V23" s="243"/>
      <c r="W23" s="243"/>
      <c r="X23" s="243"/>
      <c r="Y23" s="243"/>
      <c r="Z23" s="243"/>
    </row>
    <row r="24" spans="1:26" s="11" customFormat="1" x14ac:dyDescent="0.2">
      <c r="A24" s="148" t="str">
        <f t="shared" si="0"/>
        <v/>
      </c>
      <c r="B24" s="68">
        <f t="shared" si="1"/>
        <v>41838</v>
      </c>
      <c r="C24" s="59"/>
      <c r="D24" s="59"/>
      <c r="E24" s="59"/>
      <c r="F24" s="59"/>
      <c r="G24" s="44">
        <f>IF(AND(WEEKDAY(B24,2)&gt;5,$C24=""),"",IF(E24&gt;0,(E24*60+F24)-(C24*60+D24)-H24+TRUNC(Info!$D$10*(I24/100)),IF(MID(C24,1,2)="Fl",0,Info!AH58))-Info!AH58)</f>
        <v>0</v>
      </c>
      <c r="H24" s="185">
        <f>IF(AND(Info!$C$46&gt;0,$E24&gt;$C24),Info!$C$46,)</f>
        <v>0</v>
      </c>
      <c r="I24" s="185"/>
      <c r="J24" s="175" t="str">
        <f>Info!AH24</f>
        <v/>
      </c>
      <c r="K24" s="323"/>
      <c r="L24" s="338"/>
      <c r="M24" s="327"/>
      <c r="P24" s="243"/>
      <c r="Q24" s="243"/>
      <c r="R24" s="243"/>
      <c r="S24" s="243"/>
      <c r="T24" s="243"/>
      <c r="U24" s="243"/>
      <c r="V24" s="243"/>
      <c r="W24" s="243"/>
      <c r="X24" s="243"/>
      <c r="Y24" s="243"/>
      <c r="Z24" s="243"/>
    </row>
    <row r="25" spans="1:26" s="11" customFormat="1" x14ac:dyDescent="0.2">
      <c r="A25" s="148" t="str">
        <f t="shared" si="0"/>
        <v/>
      </c>
      <c r="B25" s="68">
        <f t="shared" si="1"/>
        <v>41839</v>
      </c>
      <c r="C25" s="59"/>
      <c r="D25" s="59"/>
      <c r="E25" s="59"/>
      <c r="F25" s="59"/>
      <c r="G25" s="44" t="str">
        <f>IF(AND(WEEKDAY(B25,2)&gt;5,$C25=""),"",IF(E25&gt;0,(E25*60+F25)-(C25*60+D25)-H25+TRUNC(Info!$D$10*(I25/100)),IF(MID(C25,1,2)="Fl",0,Info!AH59))-Info!AH59)</f>
        <v/>
      </c>
      <c r="H25" s="185">
        <f>IF(AND(Info!$C$46&gt;0,$E25&gt;$C25),Info!$C$46,)</f>
        <v>0</v>
      </c>
      <c r="I25" s="185"/>
      <c r="J25" s="175" t="str">
        <f>Info!AH25</f>
        <v/>
      </c>
      <c r="K25" s="323"/>
      <c r="L25" s="338"/>
      <c r="M25" s="327"/>
      <c r="P25" s="243"/>
      <c r="Q25" s="243"/>
      <c r="R25" s="243"/>
      <c r="S25" s="243"/>
      <c r="T25" s="243"/>
      <c r="U25" s="243"/>
      <c r="V25" s="243"/>
      <c r="W25" s="243"/>
      <c r="X25" s="243"/>
      <c r="Y25" s="243"/>
      <c r="Z25" s="243"/>
    </row>
    <row r="26" spans="1:26" s="11" customFormat="1" x14ac:dyDescent="0.2">
      <c r="A26" s="148" t="str">
        <f t="shared" si="0"/>
        <v/>
      </c>
      <c r="B26" s="68">
        <f t="shared" si="1"/>
        <v>41840</v>
      </c>
      <c r="C26" s="59"/>
      <c r="D26" s="59"/>
      <c r="E26" s="59"/>
      <c r="F26" s="59"/>
      <c r="G26" s="44" t="str">
        <f>IF(AND(WEEKDAY(B26,2)&gt;5,$C26=""),"",IF(E26&gt;0,(E26*60+F26)-(C26*60+D26)-H26+TRUNC(Info!$D$10*(I26/100)),IF(MID(C26,1,2)="Fl",0,Info!AH60))-Info!AH60)</f>
        <v/>
      </c>
      <c r="H26" s="185">
        <f>IF(AND(Info!$C$46&gt;0,$E26&gt;$C26),Info!$C$46,)</f>
        <v>0</v>
      </c>
      <c r="I26" s="185"/>
      <c r="J26" s="175" t="str">
        <f>Info!AH26</f>
        <v>Haakon Magnus 41</v>
      </c>
      <c r="K26" s="323"/>
      <c r="L26" s="338"/>
      <c r="M26" s="327"/>
      <c r="P26" s="243"/>
      <c r="Q26" s="243"/>
      <c r="R26" s="243"/>
      <c r="S26" s="243"/>
      <c r="T26" s="243"/>
      <c r="U26" s="243"/>
      <c r="V26" s="243"/>
      <c r="W26" s="243"/>
      <c r="X26" s="243"/>
      <c r="Y26" s="243"/>
      <c r="Z26" s="243"/>
    </row>
    <row r="27" spans="1:26" s="11" customFormat="1" x14ac:dyDescent="0.2">
      <c r="A27" s="148">
        <f t="shared" si="0"/>
        <v>30</v>
      </c>
      <c r="B27" s="68">
        <f t="shared" si="1"/>
        <v>41841</v>
      </c>
      <c r="C27" s="59"/>
      <c r="D27" s="59"/>
      <c r="E27" s="59"/>
      <c r="F27" s="59"/>
      <c r="G27" s="44">
        <f>IF(AND(WEEKDAY(B27,2)&gt;5,$C27=""),"",IF(E27&gt;0,(E27*60+F27)-(C27*60+D27)-H27+TRUNC(Info!$D$10*(I27/100)),IF(MID(C27,1,2)="Fl",0,Info!AH61))-Info!AH61)</f>
        <v>0</v>
      </c>
      <c r="H27" s="185">
        <f>IF(AND(Info!$C$46&gt;0,$E27&gt;$C27),Info!$C$46,)</f>
        <v>0</v>
      </c>
      <c r="I27" s="185"/>
      <c r="J27" s="175" t="str">
        <f>Info!AH27</f>
        <v/>
      </c>
      <c r="K27" s="323"/>
      <c r="L27" s="338"/>
      <c r="M27" s="327"/>
      <c r="P27" s="243"/>
      <c r="Q27" s="243"/>
      <c r="R27" s="243"/>
      <c r="S27" s="243"/>
      <c r="T27" s="243"/>
      <c r="U27" s="243"/>
      <c r="V27" s="243"/>
      <c r="W27" s="243"/>
      <c r="X27" s="243"/>
      <c r="Y27" s="243"/>
      <c r="Z27" s="243"/>
    </row>
    <row r="28" spans="1:26" s="11" customFormat="1" x14ac:dyDescent="0.2">
      <c r="A28" s="148" t="str">
        <f t="shared" si="0"/>
        <v/>
      </c>
      <c r="B28" s="68">
        <f t="shared" si="1"/>
        <v>41842</v>
      </c>
      <c r="C28" s="59"/>
      <c r="D28" s="59"/>
      <c r="E28" s="59"/>
      <c r="F28" s="59"/>
      <c r="G28" s="44">
        <f>IF(AND(WEEKDAY(B28,2)&gt;5,$C28=""),"",IF(E28&gt;0,(E28*60+F28)-(C28*60+D28)-H28+TRUNC(Info!$D$10*(I28/100)),IF(MID(C28,1,2)="Fl",0,Info!AH62))-Info!AH62)</f>
        <v>0</v>
      </c>
      <c r="H28" s="185">
        <f>IF(AND(Info!$C$46&gt;0,$E28&gt;$C28),Info!$C$46,)</f>
        <v>0</v>
      </c>
      <c r="I28" s="185"/>
      <c r="J28" s="175" t="str">
        <f>Info!AH28</f>
        <v/>
      </c>
      <c r="K28" s="323"/>
      <c r="L28" s="338"/>
      <c r="M28" s="327"/>
      <c r="P28" s="243"/>
      <c r="Q28" s="243"/>
      <c r="R28" s="243"/>
      <c r="S28" s="243"/>
      <c r="T28" s="243"/>
      <c r="U28" s="243"/>
      <c r="V28" s="243"/>
      <c r="W28" s="243"/>
      <c r="X28" s="243"/>
      <c r="Y28" s="243"/>
      <c r="Z28" s="243"/>
    </row>
    <row r="29" spans="1:26" s="11" customFormat="1" x14ac:dyDescent="0.2">
      <c r="A29" s="148" t="str">
        <f t="shared" si="0"/>
        <v/>
      </c>
      <c r="B29" s="68">
        <f t="shared" si="1"/>
        <v>41843</v>
      </c>
      <c r="C29" s="59"/>
      <c r="D29" s="59"/>
      <c r="E29" s="59"/>
      <c r="F29" s="59"/>
      <c r="G29" s="44">
        <f>IF(AND(WEEKDAY(B29,2)&gt;5,$C29=""),"",IF(E29&gt;0,(E29*60+F29)-(C29*60+D29)-H29+TRUNC(Info!$D$10*(I29/100)),IF(MID(C29,1,2)="Fl",0,Info!AH63))-Info!AH63)</f>
        <v>0</v>
      </c>
      <c r="H29" s="185">
        <f>IF(AND(Info!$C$46&gt;0,$E29&gt;$C29),Info!$C$46,)</f>
        <v>0</v>
      </c>
      <c r="I29" s="185"/>
      <c r="J29" s="175" t="str">
        <f>Info!AH29</f>
        <v/>
      </c>
      <c r="K29" s="323"/>
      <c r="L29" s="338"/>
      <c r="M29" s="327"/>
      <c r="P29" s="243"/>
      <c r="Q29" s="243"/>
      <c r="R29" s="243"/>
      <c r="S29" s="243"/>
      <c r="T29" s="243"/>
      <c r="U29" s="243"/>
      <c r="V29" s="243"/>
      <c r="W29" s="243"/>
      <c r="X29" s="243"/>
      <c r="Y29" s="243"/>
      <c r="Z29" s="243"/>
    </row>
    <row r="30" spans="1:26" s="11" customFormat="1" x14ac:dyDescent="0.2">
      <c r="A30" s="148" t="str">
        <f t="shared" si="0"/>
        <v/>
      </c>
      <c r="B30" s="68">
        <f t="shared" si="1"/>
        <v>41844</v>
      </c>
      <c r="C30" s="59"/>
      <c r="D30" s="59"/>
      <c r="E30" s="59"/>
      <c r="F30" s="59"/>
      <c r="G30" s="44">
        <f>IF(AND(WEEKDAY(B30,2)&gt;5,$C30=""),"",IF(E30&gt;0,(E30*60+F30)-(C30*60+D30)-H30+TRUNC(Info!$D$10*(I30/100)),IF(MID(C30,1,2)="Fl",0,Info!AH64))-Info!AH64)</f>
        <v>0</v>
      </c>
      <c r="H30" s="185">
        <f>IF(AND(Info!$C$46&gt;0,$E30&gt;$C30),Info!$C$46,)</f>
        <v>0</v>
      </c>
      <c r="I30" s="185"/>
      <c r="J30" s="175" t="str">
        <f>Info!AH30</f>
        <v/>
      </c>
      <c r="K30" s="323"/>
      <c r="L30" s="338"/>
      <c r="M30" s="327"/>
      <c r="P30" s="243"/>
      <c r="Q30" s="243"/>
      <c r="R30" s="243"/>
      <c r="S30" s="243"/>
      <c r="T30" s="243"/>
      <c r="U30" s="243"/>
      <c r="V30" s="243"/>
      <c r="W30" s="243"/>
      <c r="X30" s="243"/>
      <c r="Y30" s="243"/>
      <c r="Z30" s="243"/>
    </row>
    <row r="31" spans="1:26" s="11" customFormat="1" x14ac:dyDescent="0.2">
      <c r="A31" s="148" t="str">
        <f t="shared" si="0"/>
        <v/>
      </c>
      <c r="B31" s="68">
        <f t="shared" si="1"/>
        <v>41845</v>
      </c>
      <c r="C31" s="59"/>
      <c r="D31" s="59"/>
      <c r="E31" s="59"/>
      <c r="F31" s="59"/>
      <c r="G31" s="44">
        <f>IF(AND(WEEKDAY(B31,2)&gt;5,$C31=""),"",IF(E31&gt;0,(E31*60+F31)-(C31*60+D31)-H31+TRUNC(Info!$D$10*(I31/100)),IF(MID(C31,1,2)="Fl",0,Info!AH65))-Info!AH65)</f>
        <v>0</v>
      </c>
      <c r="H31" s="185">
        <f>IF(AND(Info!$C$46&gt;0,$E31&gt;$C31),Info!$C$46,)</f>
        <v>0</v>
      </c>
      <c r="I31" s="185"/>
      <c r="J31" s="175" t="str">
        <f>Info!AH31</f>
        <v/>
      </c>
      <c r="K31" s="323"/>
      <c r="L31" s="338"/>
      <c r="M31" s="327"/>
      <c r="P31" s="243"/>
      <c r="Q31" s="243"/>
      <c r="R31" s="243"/>
      <c r="S31" s="243"/>
      <c r="T31" s="243"/>
      <c r="U31" s="243"/>
      <c r="V31" s="243"/>
      <c r="W31" s="243"/>
      <c r="X31" s="243"/>
      <c r="Y31" s="243"/>
      <c r="Z31" s="243"/>
    </row>
    <row r="32" spans="1:26" s="11" customFormat="1" x14ac:dyDescent="0.2">
      <c r="A32" s="148" t="str">
        <f t="shared" si="0"/>
        <v/>
      </c>
      <c r="B32" s="68">
        <f t="shared" si="1"/>
        <v>41846</v>
      </c>
      <c r="C32" s="59"/>
      <c r="D32" s="59"/>
      <c r="E32" s="59"/>
      <c r="F32" s="59"/>
      <c r="G32" s="44" t="str">
        <f>IF(AND(WEEKDAY(B32,2)&gt;5,$C32=""),"",IF(E32&gt;0,(E32*60+F32)-(C32*60+D32)-H32+TRUNC(Info!$D$10*(I32/100)),IF(MID(C32,1,2)="Fl",0,Info!AH66))-Info!AH66)</f>
        <v/>
      </c>
      <c r="H32" s="185">
        <f>IF(AND(Info!$C$46&gt;0,$E32&gt;$C32),Info!$C$46,)</f>
        <v>0</v>
      </c>
      <c r="I32" s="185"/>
      <c r="J32" s="175" t="str">
        <f>Info!AH32</f>
        <v/>
      </c>
      <c r="K32" s="323"/>
      <c r="L32" s="338"/>
      <c r="M32" s="327"/>
      <c r="P32" s="243"/>
      <c r="Q32" s="243"/>
      <c r="R32" s="243"/>
      <c r="S32" s="243"/>
      <c r="T32" s="243"/>
      <c r="U32" s="243"/>
      <c r="V32" s="243"/>
      <c r="W32" s="243"/>
      <c r="X32" s="243"/>
      <c r="Y32" s="243"/>
      <c r="Z32" s="243"/>
    </row>
    <row r="33" spans="1:26" s="11" customFormat="1" x14ac:dyDescent="0.2">
      <c r="A33" s="148" t="str">
        <f t="shared" si="0"/>
        <v/>
      </c>
      <c r="B33" s="68">
        <f t="shared" si="1"/>
        <v>41847</v>
      </c>
      <c r="C33" s="59"/>
      <c r="D33" s="59"/>
      <c r="E33" s="59"/>
      <c r="F33" s="59"/>
      <c r="G33" s="44" t="str">
        <f>IF(AND(WEEKDAY(B33,2)&gt;5,$C33=""),"",IF(E33&gt;0,(E33*60+F33)-(C33*60+D33)-H33+TRUNC(Info!$D$10*(I33/100)),IF(MID(C33,1,2)="Fl",0,Info!AH67))-Info!AH67)</f>
        <v/>
      </c>
      <c r="H33" s="185">
        <f>IF(AND(Info!$C$46&gt;0,$E33&gt;$C33),Info!$C$46,)</f>
        <v>0</v>
      </c>
      <c r="I33" s="185"/>
      <c r="J33" s="175" t="str">
        <f>Info!AH33</f>
        <v/>
      </c>
      <c r="K33" s="323"/>
      <c r="L33" s="338"/>
      <c r="M33" s="327"/>
      <c r="P33" s="243"/>
      <c r="Q33" s="243"/>
      <c r="R33" s="243"/>
      <c r="S33" s="243"/>
      <c r="T33" s="243"/>
      <c r="U33" s="243"/>
      <c r="V33" s="243"/>
      <c r="W33" s="243"/>
      <c r="X33" s="243"/>
      <c r="Y33" s="243"/>
      <c r="Z33" s="243"/>
    </row>
    <row r="34" spans="1:26" s="11" customFormat="1" x14ac:dyDescent="0.2">
      <c r="A34" s="148">
        <f t="shared" si="0"/>
        <v>31</v>
      </c>
      <c r="B34" s="68">
        <f t="shared" si="1"/>
        <v>41848</v>
      </c>
      <c r="C34" s="59"/>
      <c r="D34" s="59"/>
      <c r="E34" s="59"/>
      <c r="F34" s="59"/>
      <c r="G34" s="44">
        <f>IF(AND(WEEKDAY(B34,2)&gt;5,$C34=""),"",IF(E34&gt;0,(E34*60+F34)-(C34*60+D34)-H34+TRUNC(Info!$D$10*(I34/100)),IF(MID(C34,1,2)="Fl",0,Info!AH68))-Info!AH68)</f>
        <v>0</v>
      </c>
      <c r="H34" s="185">
        <f>IF(AND(Info!$C$46&gt;0,$E34&gt;$C34),Info!$C$46,)</f>
        <v>0</v>
      </c>
      <c r="I34" s="185"/>
      <c r="J34" s="175" t="str">
        <f>Info!AH34</f>
        <v/>
      </c>
      <c r="K34" s="323"/>
      <c r="L34" s="338"/>
      <c r="M34" s="327"/>
      <c r="P34" s="243"/>
      <c r="Q34" s="243"/>
      <c r="R34" s="243"/>
      <c r="S34" s="243"/>
      <c r="T34" s="243"/>
      <c r="U34" s="243"/>
      <c r="V34" s="243"/>
      <c r="W34" s="243"/>
      <c r="X34" s="243"/>
      <c r="Y34" s="243"/>
      <c r="Z34" s="243"/>
    </row>
    <row r="35" spans="1:26" s="11" customFormat="1" x14ac:dyDescent="0.2">
      <c r="A35" s="148" t="str">
        <f t="shared" si="0"/>
        <v/>
      </c>
      <c r="B35" s="68">
        <f t="shared" si="1"/>
        <v>41849</v>
      </c>
      <c r="C35" s="59"/>
      <c r="D35" s="59"/>
      <c r="E35" s="59"/>
      <c r="F35" s="59"/>
      <c r="G35" s="44">
        <f>IF(AND(WEEKDAY(B35,2)&gt;5,$C35=""),"",IF(E35&gt;0,(E35*60+F35)-(C35*60+D35)-H35+TRUNC(Info!$D$10*(I35/100)),IF(MID(C35,1,2)="Fl",0,Info!AH69))-Info!AH69)</f>
        <v>0</v>
      </c>
      <c r="H35" s="185">
        <f>IF(AND(Info!$C$46&gt;0,$E35&gt;$C35),Info!$C$46,)</f>
        <v>0</v>
      </c>
      <c r="I35" s="185"/>
      <c r="J35" s="175" t="str">
        <f>Info!AH35</f>
        <v>Olsok</v>
      </c>
      <c r="K35" s="323"/>
      <c r="L35" s="338"/>
      <c r="M35" s="327"/>
      <c r="P35" s="243"/>
      <c r="Q35" s="243"/>
      <c r="R35" s="243"/>
      <c r="S35" s="243"/>
      <c r="T35" s="243"/>
      <c r="U35" s="243"/>
      <c r="V35" s="243"/>
      <c r="W35" s="243"/>
      <c r="X35" s="243"/>
      <c r="Y35" s="243"/>
      <c r="Z35" s="243"/>
    </row>
    <row r="36" spans="1:26" s="11" customFormat="1" x14ac:dyDescent="0.2">
      <c r="A36" s="148" t="str">
        <f t="shared" si="0"/>
        <v/>
      </c>
      <c r="B36" s="68">
        <f t="shared" si="1"/>
        <v>41850</v>
      </c>
      <c r="C36" s="59"/>
      <c r="D36" s="59"/>
      <c r="E36" s="59"/>
      <c r="F36" s="59"/>
      <c r="G36" s="44">
        <f>IF(AND(WEEKDAY(B36,2)&gt;5,$C36=""),"",IF(E36&gt;0,(E36*60+F36)-(C36*60+D36)-H36+TRUNC(Info!$D$10*(I36/100)),IF(MID(C36,1,2)="Fl",0,Info!AH70))-Info!AH70)</f>
        <v>0</v>
      </c>
      <c r="H36" s="185">
        <f>IF(AND(Info!$C$46&gt;0,$E36&gt;$C36),Info!$C$46,)</f>
        <v>0</v>
      </c>
      <c r="I36" s="185"/>
      <c r="J36" s="175" t="str">
        <f>Info!AH36</f>
        <v/>
      </c>
      <c r="K36" s="323"/>
      <c r="L36" s="338"/>
      <c r="M36" s="327"/>
      <c r="P36" s="243"/>
      <c r="Q36" s="243"/>
      <c r="R36" s="243"/>
      <c r="S36" s="243"/>
      <c r="T36" s="243"/>
      <c r="U36" s="243"/>
      <c r="V36" s="243"/>
      <c r="W36" s="243"/>
      <c r="X36" s="243"/>
      <c r="Y36" s="243"/>
      <c r="Z36" s="243"/>
    </row>
    <row r="37" spans="1:26" s="11" customFormat="1" ht="13.5" thickBot="1" x14ac:dyDescent="0.25">
      <c r="A37" s="148" t="str">
        <f t="shared" si="0"/>
        <v/>
      </c>
      <c r="B37" s="69">
        <f t="shared" si="1"/>
        <v>41851</v>
      </c>
      <c r="C37" s="60"/>
      <c r="D37" s="60"/>
      <c r="E37" s="60"/>
      <c r="F37" s="60"/>
      <c r="G37" s="52">
        <f>IF(AND(WEEKDAY(B37,2)&gt;5,$C37=""),"",IF(E37&gt;0,(E37*60+F37)-(C37*60+D37)-H37+TRUNC(Info!$D$10*(I37/100)),IF(MID(C37,1,2)="Fl",0,Info!AH71))-Info!AH71)</f>
        <v>0</v>
      </c>
      <c r="H37" s="186">
        <f>IF(AND(Info!$C$46&gt;0,$E37&gt;$C37),Info!$C$46,)</f>
        <v>0</v>
      </c>
      <c r="I37" s="186"/>
      <c r="J37" s="176" t="str">
        <f>Info!AH37</f>
        <v/>
      </c>
      <c r="K37" s="323"/>
      <c r="L37" s="338"/>
      <c r="M37" s="327"/>
      <c r="P37" s="243"/>
      <c r="Q37" s="243"/>
      <c r="R37" s="243"/>
      <c r="S37" s="243"/>
      <c r="T37" s="243"/>
      <c r="U37" s="243"/>
      <c r="V37" s="243"/>
      <c r="W37" s="243"/>
      <c r="X37" s="243"/>
      <c r="Y37" s="243"/>
      <c r="Z37" s="243"/>
    </row>
    <row r="38" spans="1:26" x14ac:dyDescent="0.2">
      <c r="G38" s="45"/>
      <c r="H38" s="12"/>
      <c r="I38" s="12"/>
      <c r="K38" s="313">
        <f>SUM(K7:K37)</f>
        <v>0</v>
      </c>
      <c r="L38" s="313">
        <f>SUM(L7:L37)</f>
        <v>0</v>
      </c>
      <c r="M38" s="327"/>
      <c r="N38" s="337">
        <f>SUM(Juni!$K$27:'Juni'!$K35)+SUM($K$7:$K$26)</f>
        <v>0</v>
      </c>
    </row>
    <row r="39" spans="1:26" x14ac:dyDescent="0.2">
      <c r="K39" s="342" t="str">
        <f>ROUNDDOWN(K38/60,1)&amp;" t"</f>
        <v>0 t</v>
      </c>
      <c r="L39" s="96" t="s">
        <v>217</v>
      </c>
      <c r="N39" s="330" t="str">
        <f>ROUNDDOWN(N38/60,1)&amp;" t  i perioden 21."&amp;TEXT(B7-1,"m")&amp;"-20."&amp;TEXT(B7,"m")</f>
        <v>0 t  i perioden 21.6-20.7</v>
      </c>
    </row>
    <row r="40" spans="1:26" x14ac:dyDescent="0.2">
      <c r="B40" s="454" t="s">
        <v>141</v>
      </c>
      <c r="C40" s="455"/>
      <c r="D40" s="455"/>
      <c r="E40" s="456"/>
      <c r="F40" s="208" t="s">
        <v>48</v>
      </c>
      <c r="G40" s="209" t="s">
        <v>49</v>
      </c>
      <c r="H40" s="482" t="s">
        <v>50</v>
      </c>
      <c r="I40" s="460"/>
      <c r="J40" s="14" t="s">
        <v>19</v>
      </c>
      <c r="K40" s="92"/>
      <c r="L40" s="92"/>
    </row>
    <row r="41" spans="1:26" x14ac:dyDescent="0.2">
      <c r="B41" s="191" t="str">
        <f>J$2&amp;":"</f>
        <v>Juli:</v>
      </c>
      <c r="C41" s="1"/>
      <c r="D41" s="1"/>
      <c r="E41" s="40">
        <f>SUM(G$7:G$37)</f>
        <v>0</v>
      </c>
      <c r="F41" s="38">
        <f>TRUNC(E41/60,)</f>
        <v>0</v>
      </c>
      <c r="G41" s="50">
        <f>((E41/60)-F41)*60</f>
        <v>0</v>
      </c>
      <c r="H41" s="473"/>
      <c r="I41" s="474"/>
      <c r="J41" s="15" t="s">
        <v>145</v>
      </c>
      <c r="K41" s="92"/>
      <c r="L41" s="92"/>
    </row>
    <row r="42" spans="1:26" x14ac:dyDescent="0.2">
      <c r="B42" s="192" t="str">
        <f>"Fra "&amp;TEXT(($B$7-1),"mmmm")&amp;":"</f>
        <v>Fra juni:</v>
      </c>
      <c r="C42" s="1"/>
      <c r="D42" s="1"/>
      <c r="E42" s="40">
        <f>Juni!$E$42</f>
        <v>0</v>
      </c>
      <c r="F42" s="39">
        <f>TRUNC(E42/60,)</f>
        <v>0</v>
      </c>
      <c r="G42" s="51">
        <f>((E42/60)-F42)*60</f>
        <v>0</v>
      </c>
      <c r="H42" s="473"/>
      <c r="I42" s="474"/>
      <c r="J42" s="15" t="s">
        <v>146</v>
      </c>
      <c r="K42" s="92"/>
      <c r="L42" s="92"/>
    </row>
    <row r="43" spans="1:26" x14ac:dyDescent="0.2">
      <c r="B43" s="210" t="s">
        <v>142</v>
      </c>
      <c r="C43" s="1"/>
      <c r="D43" s="1"/>
      <c r="E43" s="193">
        <f>E41+E42</f>
        <v>0</v>
      </c>
      <c r="F43" s="80">
        <f>TRUNC(E43/60,)</f>
        <v>0</v>
      </c>
      <c r="G43" s="81">
        <f>((E43/60)-F43)*60</f>
        <v>0</v>
      </c>
      <c r="H43" s="457">
        <f>E43/Info!$D$10</f>
        <v>0</v>
      </c>
      <c r="I43" s="451"/>
      <c r="J43" s="213" t="s">
        <v>147</v>
      </c>
      <c r="K43" s="92"/>
      <c r="L43" s="92"/>
    </row>
    <row r="44" spans="1:26" x14ac:dyDescent="0.2">
      <c r="B44" s="454" t="s">
        <v>133</v>
      </c>
      <c r="C44" s="455"/>
      <c r="D44" s="455"/>
      <c r="E44" s="456"/>
      <c r="F44" s="1"/>
      <c r="G44" s="46"/>
      <c r="H44" s="461">
        <f>IF(Info!$C$47="Ja",E43/Info!$D$11,)</f>
        <v>0</v>
      </c>
      <c r="I44" s="461"/>
      <c r="J44" s="17" t="s">
        <v>40</v>
      </c>
      <c r="K44" s="92"/>
      <c r="L44" s="92"/>
    </row>
    <row r="45" spans="1:26" x14ac:dyDescent="0.2">
      <c r="B45" s="191" t="str">
        <f>J$2&amp;":"</f>
        <v>Juli:</v>
      </c>
      <c r="C45" s="194"/>
      <c r="D45" s="195"/>
      <c r="E45" s="196">
        <f>COUNTIF(C$7:C$37,"Fe*")</f>
        <v>0</v>
      </c>
      <c r="G45" s="47"/>
      <c r="H45" s="18"/>
      <c r="I45" s="18"/>
      <c r="J45" s="25"/>
      <c r="K45" s="92"/>
      <c r="L45" s="92"/>
    </row>
    <row r="46" spans="1:26" x14ac:dyDescent="0.2">
      <c r="B46" s="192" t="s">
        <v>143</v>
      </c>
      <c r="C46" s="7"/>
      <c r="D46" s="7"/>
      <c r="E46" s="197">
        <f>Juni!$E$46</f>
        <v>0</v>
      </c>
      <c r="F46" s="10"/>
      <c r="G46" s="48"/>
      <c r="H46" s="19"/>
      <c r="I46" s="19"/>
      <c r="J46" s="26"/>
      <c r="K46" s="92"/>
      <c r="L46" s="92"/>
    </row>
    <row r="47" spans="1:26" x14ac:dyDescent="0.2">
      <c r="B47" s="211" t="s">
        <v>44</v>
      </c>
      <c r="C47" s="198"/>
      <c r="D47" s="198"/>
      <c r="E47" s="199">
        <f>E46-E45</f>
        <v>0</v>
      </c>
      <c r="F47" s="2"/>
      <c r="G47" s="48"/>
      <c r="H47" s="19"/>
      <c r="I47" s="19"/>
      <c r="J47" s="26"/>
      <c r="K47" s="92"/>
      <c r="L47" s="92"/>
    </row>
    <row r="48" spans="1:26" x14ac:dyDescent="0.2">
      <c r="B48" s="454" t="s">
        <v>140</v>
      </c>
      <c r="C48" s="455"/>
      <c r="D48" s="455"/>
      <c r="E48" s="456"/>
      <c r="F48" s="454" t="s">
        <v>87</v>
      </c>
      <c r="G48" s="458"/>
      <c r="H48" s="459"/>
      <c r="I48" s="460"/>
      <c r="K48" s="92"/>
      <c r="L48" s="92"/>
    </row>
    <row r="49" spans="2:12" x14ac:dyDescent="0.2">
      <c r="B49" s="191" t="str">
        <f>J$2&amp;":"</f>
        <v>Juli:</v>
      </c>
      <c r="C49" s="195"/>
      <c r="D49" s="195"/>
      <c r="E49" s="200">
        <f>COUNTIF(C$7:C$37,"S*")</f>
        <v>0</v>
      </c>
      <c r="F49" s="464" t="str">
        <f>IF(E49&gt;0,"- av disse","")</f>
        <v/>
      </c>
      <c r="G49" s="465"/>
      <c r="H49" s="466" t="str">
        <f>IF(E49&gt;0,E49-COUNTIF(C$7:C$37,"s*m*"),"")</f>
        <v/>
      </c>
      <c r="I49" s="467"/>
      <c r="K49" s="92"/>
      <c r="L49" s="92"/>
    </row>
    <row r="50" spans="2:12" x14ac:dyDescent="0.2">
      <c r="B50" s="211" t="str">
        <f>J$1&amp;":"</f>
        <v>2014:</v>
      </c>
      <c r="C50" s="198"/>
      <c r="D50" s="198"/>
      <c r="E50" s="201">
        <f>Juni!$E$49+E49</f>
        <v>0</v>
      </c>
      <c r="F50" s="452" t="s">
        <v>148</v>
      </c>
      <c r="G50" s="453"/>
      <c r="H50" s="450">
        <f>SUM(Info!$I$11:'Info'!$I$15)+SUM(Info!$J$4:'Info'!$J$9)+E49-COUNTIF(C$7:C$37,"s*m*")</f>
        <v>0</v>
      </c>
      <c r="I50" s="451"/>
      <c r="K50" s="92"/>
      <c r="L50" s="92"/>
    </row>
    <row r="51" spans="2:12" x14ac:dyDescent="0.2">
      <c r="B51" s="454" t="s">
        <v>144</v>
      </c>
      <c r="C51" s="455"/>
      <c r="D51" s="455"/>
      <c r="E51" s="456"/>
      <c r="K51" s="92"/>
      <c r="L51" s="92"/>
    </row>
    <row r="52" spans="2:12" x14ac:dyDescent="0.2">
      <c r="B52" s="202" t="str">
        <f>"Sykt barn/-passer i "&amp;LOWER(J$2)&amp;":"</f>
        <v>Sykt barn/-passer i juli:</v>
      </c>
      <c r="C52" s="28"/>
      <c r="D52" s="203"/>
      <c r="E52" s="204">
        <f>COUNTIF(C$7:C$37,"P*b*")</f>
        <v>0</v>
      </c>
      <c r="F52" s="1"/>
      <c r="G52" s="49"/>
      <c r="H52" s="19"/>
      <c r="I52" s="19"/>
      <c r="K52" s="92"/>
      <c r="L52" s="92"/>
    </row>
    <row r="53" spans="2:12" x14ac:dyDescent="0.2">
      <c r="B53" s="205" t="str">
        <f>"Velferdspermisjon i "&amp;LOWER(J$2)&amp;":"</f>
        <v>Velferdspermisjon i juli:</v>
      </c>
      <c r="C53" s="1"/>
      <c r="D53" s="1"/>
      <c r="E53" s="206">
        <f>COUNTIF(C$7:C$37,"P*v*")</f>
        <v>0</v>
      </c>
      <c r="K53" s="92"/>
      <c r="L53" s="92"/>
    </row>
    <row r="54" spans="2:12" x14ac:dyDescent="0.2">
      <c r="B54" s="205" t="str">
        <f>"Annen permisjon i "&amp;LOWER(J$2)&amp;":"</f>
        <v>Annen permisjon i juli:</v>
      </c>
      <c r="C54" s="1"/>
      <c r="D54" s="1"/>
      <c r="E54" s="206">
        <f>COUNTIF(C$7:C$37,"P*a*")</f>
        <v>0</v>
      </c>
      <c r="J54" s="429"/>
      <c r="K54" s="92"/>
      <c r="L54" s="92"/>
    </row>
    <row r="55" spans="2:12" x14ac:dyDescent="0.2">
      <c r="B55" s="212" t="str">
        <f>J$1&amp;":"</f>
        <v>2014:</v>
      </c>
      <c r="C55" s="31"/>
      <c r="D55" s="31"/>
      <c r="E55" s="207">
        <f>Juni!$E$54+SUM(E52:E54)</f>
        <v>0</v>
      </c>
      <c r="J55" s="314" t="s">
        <v>233</v>
      </c>
      <c r="K55" s="92"/>
      <c r="L55" s="92"/>
    </row>
  </sheetData>
  <sheetProtection selectLockedCells="1"/>
  <mergeCells count="16">
    <mergeCell ref="K5:L5"/>
    <mergeCell ref="F49:G49"/>
    <mergeCell ref="F50:G50"/>
    <mergeCell ref="B51:E51"/>
    <mergeCell ref="B40:E40"/>
    <mergeCell ref="B44:E44"/>
    <mergeCell ref="B48:E48"/>
    <mergeCell ref="F48:I48"/>
    <mergeCell ref="H49:I49"/>
    <mergeCell ref="H50:I50"/>
    <mergeCell ref="H43:I43"/>
    <mergeCell ref="H44:I44"/>
    <mergeCell ref="H5:I5"/>
    <mergeCell ref="H40:I40"/>
    <mergeCell ref="H41:I41"/>
    <mergeCell ref="H42:I42"/>
  </mergeCells>
  <phoneticPr fontId="0" type="noConversion"/>
  <conditionalFormatting sqref="G7:G37">
    <cfRule type="expression" dxfId="143" priority="1" stopIfTrue="1">
      <formula>WEEKDAY($B7,2)&gt;5</formula>
    </cfRule>
  </conditionalFormatting>
  <conditionalFormatting sqref="A7">
    <cfRule type="expression" dxfId="142" priority="2" stopIfTrue="1">
      <formula>AND((TODAY()-WEEKDAY(TODAY(),2)+7)&gt;=B7,(TODAY()-WEEKDAY(TODAY(),2)&lt;B7))</formula>
    </cfRule>
  </conditionalFormatting>
  <conditionalFormatting sqref="A8:A37">
    <cfRule type="expression" dxfId="141" priority="3" stopIfTrue="1">
      <formula>(TODAY()-WEEKDAY(TODAY(),2)+1)=B8</formula>
    </cfRule>
  </conditionalFormatting>
  <conditionalFormatting sqref="C7:F37 H7:I37">
    <cfRule type="expression" dxfId="140" priority="4" stopIfTrue="1">
      <formula>$B7=TODAY()</formula>
    </cfRule>
    <cfRule type="expression" dxfId="139" priority="5" stopIfTrue="1">
      <formula>WEEKDAY($B7,2)&gt;5</formula>
    </cfRule>
  </conditionalFormatting>
  <conditionalFormatting sqref="J7:J37">
    <cfRule type="expression" dxfId="138" priority="6" stopIfTrue="1">
      <formula>$B7=TODAY()</formula>
    </cfRule>
    <cfRule type="expression" dxfId="137" priority="7" stopIfTrue="1">
      <formula>WEEKDAY($B7,2)&gt;5</formula>
    </cfRule>
  </conditionalFormatting>
  <conditionalFormatting sqref="B7:B37">
    <cfRule type="expression" dxfId="136" priority="8" stopIfTrue="1">
      <formula>AND(B7=TODAY(),OR(WEEKDAY(B7,2)&gt;5,LEFT($A7,1)=" "))</formula>
    </cfRule>
    <cfRule type="expression" dxfId="135" priority="9" stopIfTrue="1">
      <formula>B7=TODAY()</formula>
    </cfRule>
    <cfRule type="expression" dxfId="134" priority="10" stopIfTrue="1">
      <formula>OR(WEEKDAY($B7,2)&gt;5,LEFT($A7,1)=" ")</formula>
    </cfRule>
  </conditionalFormatting>
  <conditionalFormatting sqref="G6">
    <cfRule type="expression" dxfId="133" priority="11" stopIfTrue="1">
      <formula>AND(H43&gt;-0.99,H43&lt;-0.01)</formula>
    </cfRule>
    <cfRule type="expression" dxfId="132" priority="12" stopIfTrue="1">
      <formula>H43&lt;=-2</formula>
    </cfRule>
    <cfRule type="expression" dxfId="131" priority="13" stopIfTrue="1">
      <formula>AND(H43&gt;-1.99,H43&lt;-1)</formula>
    </cfRule>
  </conditionalFormatting>
  <conditionalFormatting sqref="N2:N6">
    <cfRule type="expression" dxfId="130" priority="31" stopIfTrue="1">
      <formula>MONTH($B$7)=MONTH(TODAY())</formula>
    </cfRule>
  </conditionalFormatting>
  <conditionalFormatting sqref="H50">
    <cfRule type="cellIs" dxfId="129" priority="14" stopIfTrue="1" operator="greaterThan">
      <formula>22</formula>
    </cfRule>
  </conditionalFormatting>
  <conditionalFormatting sqref="H43">
    <cfRule type="cellIs" dxfId="128" priority="15" stopIfTrue="1" operator="between">
      <formula>-0.4</formula>
      <formula>-0.9999999</formula>
    </cfRule>
    <cfRule type="cellIs" dxfId="127" priority="16" stopIfTrue="1" operator="lessThanOrEqual">
      <formula>-2</formula>
    </cfRule>
    <cfRule type="cellIs" dxfId="126" priority="17" stopIfTrue="1" operator="between">
      <formula>-1</formula>
      <formula>-1.99999999</formula>
    </cfRule>
  </conditionalFormatting>
  <conditionalFormatting sqref="K39">
    <cfRule type="expression" dxfId="125" priority="36" stopIfTrue="1">
      <formula>K38&lt;=0</formula>
    </cfRule>
  </conditionalFormatting>
  <conditionalFormatting sqref="L39">
    <cfRule type="expression" dxfId="124" priority="37" stopIfTrue="1">
      <formula>OR(K38&lt;=0,N38&lt;=0)</formula>
    </cfRule>
  </conditionalFormatting>
  <conditionalFormatting sqref="K38:L38">
    <cfRule type="cellIs" dxfId="123" priority="38" stopIfTrue="1" operator="lessThanOrEqual">
      <formula>0</formula>
    </cfRule>
  </conditionalFormatting>
  <conditionalFormatting sqref="K7:L37">
    <cfRule type="expression" dxfId="122" priority="39" stopIfTrue="1">
      <formula>$B7=TODAY()</formula>
    </cfRule>
    <cfRule type="expression" dxfId="121" priority="40" stopIfTrue="1">
      <formula>WEEKDAY($B7,2)&gt;5</formula>
    </cfRule>
  </conditionalFormatting>
  <conditionalFormatting sqref="N39">
    <cfRule type="expression" dxfId="120" priority="41" stopIfTrue="1">
      <formula>N38&lt;=0</formula>
    </cfRule>
  </conditionalFormatting>
  <pageMargins left="0.78740157480314965" right="0.19685039370078741" top="0.78740157480314965" bottom="0.98425196850393704" header="0.51181102362204722" footer="0.51181102362204722"/>
  <pageSetup paperSize="9" orientation="portrait" r:id="rId1"/>
  <headerFooter alignWithMargins="0">
    <oddFooter>&amp;R&amp;7ghe&amp;G 2011</oddFooter>
  </headerFooter>
  <ignoredErrors>
    <ignoredError sqref="J7 J8:J37 H7:H37" unlockedFormula="1"/>
  </ignoredErrors>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16</vt:i4>
      </vt:variant>
      <vt:variant>
        <vt:lpstr>Navngitte områder</vt:lpstr>
      </vt:variant>
      <vt:variant>
        <vt:i4>22</vt:i4>
      </vt:variant>
    </vt:vector>
  </HeadingPairs>
  <TitlesOfParts>
    <vt:vector size="38" baseType="lpstr">
      <vt:lpstr>Info</vt:lpstr>
      <vt:lpstr>Dager</vt:lpstr>
      <vt:lpstr>Jan</vt:lpstr>
      <vt:lpstr>Feb</vt:lpstr>
      <vt:lpstr>Mar</vt:lpstr>
      <vt:lpstr>Apr</vt:lpstr>
      <vt:lpstr>Mai</vt:lpstr>
      <vt:lpstr>Juni</vt:lpstr>
      <vt:lpstr>Juli</vt:lpstr>
      <vt:lpstr>Aug</vt:lpstr>
      <vt:lpstr>Sep</vt:lpstr>
      <vt:lpstr>Okt</vt:lpstr>
      <vt:lpstr>Nov</vt:lpstr>
      <vt:lpstr>Des</vt:lpstr>
      <vt:lpstr>Kalender</vt:lpstr>
      <vt:lpstr>Regler</vt:lpstr>
      <vt:lpstr>Dager!Betingelser</vt:lpstr>
      <vt:lpstr>MonFirst</vt:lpstr>
      <vt:lpstr>monthName</vt:lpstr>
      <vt:lpstr>nextMonth</vt:lpstr>
      <vt:lpstr>nextMonthName</vt:lpstr>
      <vt:lpstr>prevMonth</vt:lpstr>
      <vt:lpstr>prevMonthName</vt:lpstr>
      <vt:lpstr>Apr!Utskriftsområde</vt:lpstr>
      <vt:lpstr>Aug!Utskriftsområde</vt:lpstr>
      <vt:lpstr>Dager!Utskriftsområde</vt:lpstr>
      <vt:lpstr>Des!Utskriftsområde</vt:lpstr>
      <vt:lpstr>Feb!Utskriftsområde</vt:lpstr>
      <vt:lpstr>Jan!Utskriftsområde</vt:lpstr>
      <vt:lpstr>Juli!Utskriftsområde</vt:lpstr>
      <vt:lpstr>Juni!Utskriftsområde</vt:lpstr>
      <vt:lpstr>Kalender!Utskriftsområde</vt:lpstr>
      <vt:lpstr>Mai!Utskriftsområde</vt:lpstr>
      <vt:lpstr>Mar!Utskriftsområde</vt:lpstr>
      <vt:lpstr>Nov!Utskriftsområde</vt:lpstr>
      <vt:lpstr>Okt!Utskriftsområde</vt:lpstr>
      <vt:lpstr>Sep!Utskriftsområde</vt:lpstr>
      <vt:lpstr>Dager!Utvalg</vt:lpstr>
    </vt:vector>
  </TitlesOfParts>
  <Company>Skien kommune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Arbeidstidsskjema</dc:title>
  <dc:creator>Laila Strand</dc:creator>
  <cp:lastModifiedBy>Anne Aarak</cp:lastModifiedBy>
  <cp:lastPrinted>2011-09-29T08:57:49Z</cp:lastPrinted>
  <dcterms:created xsi:type="dcterms:W3CDTF">1999-09-28T10:51:36Z</dcterms:created>
  <dcterms:modified xsi:type="dcterms:W3CDTF">2019-11-15T10:20:20Z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1634881751</vt:i4>
  </property>
  <property fmtid="{D5CDD505-2E9C-101B-9397-08002B2CF9AE}" pid="3" name="_EmailSubject">
    <vt:lpwstr>Skjema</vt:lpwstr>
  </property>
  <property fmtid="{D5CDD505-2E9C-101B-9397-08002B2CF9AE}" pid="4" name="_AuthorEmail">
    <vt:lpwstr>eikland@start.no</vt:lpwstr>
  </property>
  <property fmtid="{D5CDD505-2E9C-101B-9397-08002B2CF9AE}" pid="5" name="_AuthorEmailDisplayName">
    <vt:lpwstr>Eikland</vt:lpwstr>
  </property>
  <property fmtid="{D5CDD505-2E9C-101B-9397-08002B2CF9AE}" pid="6" name="_ReviewingToolsShownOnce">
    <vt:lpwstr/>
  </property>
</Properties>
</file>